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QETDOS\2010 a 2013\"/>
    </mc:Choice>
  </mc:AlternateContent>
  <bookViews>
    <workbookView xWindow="0" yWindow="0" windowWidth="20490" windowHeight="7755"/>
  </bookViews>
  <sheets>
    <sheet name="ex pays prod 2013" sheetId="1" r:id="rId1"/>
  </sheets>
  <calcPr calcId="0"/>
</workbook>
</file>

<file path=xl/calcChain.xml><?xml version="1.0" encoding="utf-8"?>
<calcChain xmlns="http://schemas.openxmlformats.org/spreadsheetml/2006/main">
  <c r="B3" i="1" l="1"/>
  <c r="B4" i="1"/>
  <c r="B5" i="1"/>
  <c r="B6" i="1"/>
  <c r="B7" i="1"/>
  <c r="B8" i="1"/>
  <c r="B9" i="1"/>
  <c r="C14" i="1"/>
  <c r="D14" i="1"/>
  <c r="C15" i="1"/>
  <c r="D15" i="1"/>
  <c r="A1204" i="1"/>
  <c r="B1204" i="1"/>
  <c r="A16" i="1"/>
  <c r="B16" i="1"/>
  <c r="A17" i="1"/>
  <c r="B17" i="1"/>
  <c r="A18" i="1"/>
  <c r="B18" i="1"/>
  <c r="A19" i="1"/>
  <c r="B19" i="1"/>
  <c r="A20" i="1"/>
  <c r="B20" i="1"/>
  <c r="A21" i="1"/>
  <c r="A22" i="1"/>
  <c r="B22" i="1"/>
  <c r="A23" i="1"/>
  <c r="B23" i="1"/>
  <c r="A24" i="1"/>
  <c r="A25" i="1"/>
  <c r="A26" i="1"/>
  <c r="B26" i="1"/>
  <c r="A27" i="1"/>
  <c r="B27" i="1"/>
  <c r="A28" i="1"/>
  <c r="B28" i="1"/>
  <c r="A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A45" i="1"/>
  <c r="B45" i="1"/>
  <c r="A46" i="1"/>
  <c r="B46" i="1"/>
  <c r="A47" i="1"/>
  <c r="B47" i="1"/>
  <c r="A48" i="1"/>
  <c r="B48" i="1"/>
  <c r="A49" i="1"/>
  <c r="A50" i="1"/>
  <c r="B50" i="1"/>
  <c r="A51" i="1"/>
  <c r="B51" i="1"/>
  <c r="A52" i="1"/>
  <c r="B52" i="1"/>
  <c r="A53" i="1"/>
  <c r="B53" i="1"/>
  <c r="A54" i="1"/>
  <c r="B54" i="1"/>
  <c r="A55" i="1"/>
  <c r="B55" i="1"/>
  <c r="A56" i="1"/>
  <c r="A57" i="1"/>
  <c r="A58" i="1"/>
  <c r="B58" i="1"/>
  <c r="A59" i="1"/>
  <c r="B59" i="1"/>
  <c r="A60" i="1"/>
  <c r="A61" i="1"/>
  <c r="B61" i="1"/>
  <c r="A62" i="1"/>
  <c r="A63" i="1"/>
  <c r="B63" i="1"/>
  <c r="A64" i="1"/>
  <c r="B64" i="1"/>
  <c r="A65" i="1"/>
  <c r="A66" i="1"/>
  <c r="A67" i="1"/>
  <c r="A68" i="1"/>
  <c r="B68" i="1"/>
  <c r="A69" i="1"/>
  <c r="B69" i="1"/>
  <c r="A70" i="1"/>
  <c r="B70" i="1"/>
  <c r="A71" i="1"/>
  <c r="B71" i="1"/>
  <c r="A72" i="1"/>
  <c r="B72" i="1"/>
  <c r="A73" i="1"/>
  <c r="B73" i="1"/>
  <c r="A74" i="1"/>
  <c r="B74" i="1"/>
  <c r="A75" i="1"/>
  <c r="B75" i="1"/>
  <c r="A76" i="1"/>
  <c r="B76" i="1"/>
  <c r="A77" i="1"/>
  <c r="B77" i="1"/>
  <c r="A78" i="1"/>
  <c r="B78" i="1"/>
  <c r="A79" i="1"/>
  <c r="A80" i="1"/>
  <c r="A81" i="1"/>
  <c r="A82" i="1"/>
  <c r="B82" i="1"/>
  <c r="A83" i="1"/>
  <c r="B83" i="1"/>
  <c r="A84" i="1"/>
  <c r="B84" i="1"/>
  <c r="A85" i="1"/>
  <c r="B85" i="1"/>
  <c r="A86" i="1"/>
  <c r="A87" i="1"/>
  <c r="B87" i="1"/>
  <c r="A88" i="1"/>
  <c r="A89" i="1"/>
  <c r="B89" i="1"/>
  <c r="A90" i="1"/>
  <c r="A91" i="1"/>
  <c r="B91" i="1"/>
  <c r="A92" i="1"/>
  <c r="B92" i="1"/>
  <c r="A93" i="1"/>
  <c r="B93" i="1"/>
  <c r="A94" i="1"/>
  <c r="B94" i="1"/>
  <c r="A95" i="1"/>
  <c r="B95" i="1"/>
  <c r="A96" i="1"/>
  <c r="A97" i="1"/>
  <c r="B97" i="1"/>
  <c r="A98" i="1"/>
  <c r="B98" i="1"/>
  <c r="A99" i="1"/>
  <c r="A100" i="1"/>
  <c r="B100" i="1"/>
  <c r="A101" i="1"/>
  <c r="B101" i="1"/>
  <c r="A102" i="1"/>
  <c r="B102" i="1"/>
  <c r="A103" i="1"/>
  <c r="B103" i="1"/>
  <c r="A104" i="1"/>
  <c r="B104" i="1"/>
  <c r="A105" i="1"/>
  <c r="B105" i="1"/>
  <c r="A106" i="1"/>
  <c r="A107" i="1"/>
  <c r="B107" i="1"/>
  <c r="A108" i="1"/>
  <c r="B108" i="1"/>
  <c r="A109" i="1"/>
  <c r="B109" i="1"/>
  <c r="A110" i="1"/>
  <c r="A111" i="1"/>
  <c r="B111" i="1"/>
  <c r="A112" i="1"/>
  <c r="A113" i="1"/>
  <c r="B113" i="1"/>
  <c r="A114" i="1"/>
  <c r="B114" i="1"/>
  <c r="A115" i="1"/>
  <c r="B115" i="1"/>
  <c r="A116" i="1"/>
  <c r="B116" i="1"/>
  <c r="A117" i="1"/>
  <c r="B117" i="1"/>
  <c r="A118" i="1"/>
  <c r="B118" i="1"/>
  <c r="A119" i="1"/>
  <c r="B119" i="1"/>
  <c r="A120" i="1"/>
  <c r="A121" i="1"/>
  <c r="A122" i="1"/>
  <c r="B122" i="1"/>
  <c r="A123" i="1"/>
  <c r="B123" i="1"/>
  <c r="A124" i="1"/>
  <c r="B124" i="1"/>
  <c r="A125" i="1"/>
  <c r="B125" i="1"/>
  <c r="A126" i="1"/>
  <c r="B126" i="1"/>
  <c r="A127" i="1"/>
  <c r="B127" i="1"/>
  <c r="A128" i="1"/>
  <c r="B128" i="1"/>
  <c r="A129" i="1"/>
  <c r="B129" i="1"/>
  <c r="A130" i="1"/>
  <c r="B130" i="1"/>
  <c r="A131" i="1"/>
  <c r="B131" i="1"/>
  <c r="A132" i="1"/>
  <c r="B132" i="1"/>
  <c r="A133" i="1"/>
  <c r="A134" i="1"/>
  <c r="B134" i="1"/>
  <c r="A135" i="1"/>
  <c r="B135" i="1"/>
  <c r="A136" i="1"/>
  <c r="B136" i="1"/>
  <c r="A137" i="1"/>
  <c r="A138" i="1"/>
  <c r="B138" i="1"/>
  <c r="A139" i="1"/>
  <c r="B139" i="1"/>
  <c r="A140" i="1"/>
  <c r="A141" i="1"/>
  <c r="B141" i="1"/>
  <c r="A142" i="1"/>
  <c r="B142" i="1"/>
  <c r="A143" i="1"/>
  <c r="A144" i="1"/>
  <c r="A145" i="1"/>
  <c r="A146" i="1"/>
  <c r="A147" i="1"/>
  <c r="B147" i="1"/>
  <c r="A148" i="1"/>
  <c r="B148" i="1"/>
  <c r="A149" i="1"/>
  <c r="B149" i="1"/>
  <c r="A150" i="1"/>
  <c r="B150" i="1"/>
  <c r="A151" i="1"/>
  <c r="B151" i="1"/>
  <c r="A152" i="1"/>
  <c r="B152" i="1"/>
  <c r="A153" i="1"/>
  <c r="B153" i="1"/>
  <c r="A154" i="1"/>
  <c r="B154" i="1"/>
  <c r="A155" i="1"/>
  <c r="B155" i="1"/>
  <c r="A156" i="1"/>
  <c r="B156" i="1"/>
  <c r="A157" i="1"/>
  <c r="B157" i="1"/>
  <c r="A158" i="1"/>
  <c r="B158" i="1"/>
  <c r="A159" i="1"/>
  <c r="A160" i="1"/>
  <c r="A161" i="1"/>
  <c r="B161" i="1"/>
  <c r="A162" i="1"/>
  <c r="B162" i="1"/>
  <c r="A163" i="1"/>
  <c r="B163" i="1"/>
  <c r="A164" i="1"/>
  <c r="A165" i="1"/>
  <c r="A166" i="1"/>
  <c r="A167" i="1"/>
  <c r="B167" i="1"/>
  <c r="A168" i="1"/>
  <c r="A169" i="1"/>
  <c r="A170" i="1"/>
  <c r="A171" i="1"/>
  <c r="B171" i="1"/>
  <c r="A172" i="1"/>
  <c r="B172" i="1"/>
  <c r="A173" i="1"/>
  <c r="B173" i="1"/>
  <c r="A174" i="1"/>
  <c r="B174" i="1"/>
  <c r="A175" i="1"/>
  <c r="B175" i="1"/>
  <c r="A176" i="1"/>
  <c r="B176" i="1"/>
  <c r="A177" i="1"/>
  <c r="B177" i="1"/>
  <c r="A178" i="1"/>
  <c r="B178" i="1"/>
  <c r="A179" i="1"/>
  <c r="A180" i="1"/>
  <c r="B180" i="1"/>
  <c r="A181" i="1"/>
  <c r="A182" i="1"/>
  <c r="B182" i="1"/>
  <c r="A183" i="1"/>
  <c r="B183" i="1"/>
  <c r="A184" i="1"/>
  <c r="B184" i="1"/>
  <c r="A185" i="1"/>
  <c r="B185" i="1"/>
  <c r="A186" i="1"/>
  <c r="B186" i="1"/>
  <c r="A187" i="1"/>
  <c r="B187" i="1"/>
  <c r="A188" i="1"/>
  <c r="B188" i="1"/>
  <c r="A189" i="1"/>
  <c r="B189" i="1"/>
  <c r="A190" i="1"/>
  <c r="B190" i="1"/>
  <c r="A191" i="1"/>
  <c r="B191" i="1"/>
  <c r="A192" i="1"/>
  <c r="B192" i="1"/>
  <c r="A193" i="1"/>
  <c r="B193" i="1"/>
  <c r="A194" i="1"/>
  <c r="A195" i="1"/>
  <c r="B195" i="1"/>
  <c r="A196" i="1"/>
  <c r="B196" i="1"/>
  <c r="A197" i="1"/>
  <c r="B197" i="1"/>
  <c r="A198" i="1"/>
  <c r="A199" i="1"/>
  <c r="B199" i="1"/>
  <c r="A200" i="1"/>
  <c r="B200" i="1"/>
  <c r="A201" i="1"/>
  <c r="A202" i="1"/>
  <c r="B202" i="1"/>
  <c r="A203" i="1"/>
  <c r="B203" i="1"/>
  <c r="A204" i="1"/>
  <c r="B204" i="1"/>
  <c r="A205" i="1"/>
  <c r="A206" i="1"/>
  <c r="B206" i="1"/>
  <c r="A207" i="1"/>
  <c r="B207" i="1"/>
  <c r="A208" i="1"/>
  <c r="B208" i="1"/>
  <c r="A209" i="1"/>
  <c r="B209" i="1"/>
  <c r="A210" i="1"/>
  <c r="A211" i="1"/>
  <c r="B211" i="1"/>
  <c r="A212" i="1"/>
  <c r="A213" i="1"/>
  <c r="B213" i="1"/>
  <c r="A214" i="1"/>
  <c r="B214" i="1"/>
  <c r="A215" i="1"/>
  <c r="A216" i="1"/>
  <c r="A217" i="1"/>
  <c r="A218" i="1"/>
  <c r="A219" i="1"/>
  <c r="A220" i="1"/>
  <c r="B220" i="1"/>
  <c r="A221" i="1"/>
  <c r="B221" i="1"/>
  <c r="A222" i="1"/>
  <c r="B222" i="1"/>
  <c r="A223" i="1"/>
  <c r="B223" i="1"/>
  <c r="A224" i="1"/>
  <c r="B224" i="1"/>
  <c r="A225" i="1"/>
  <c r="B225" i="1"/>
  <c r="A226" i="1"/>
  <c r="B226" i="1"/>
  <c r="A227" i="1"/>
  <c r="B227" i="1"/>
  <c r="A228" i="1"/>
  <c r="B228" i="1"/>
  <c r="A229" i="1"/>
  <c r="A230" i="1"/>
  <c r="B230" i="1"/>
  <c r="A231" i="1"/>
  <c r="B231" i="1"/>
  <c r="A232" i="1"/>
  <c r="B232" i="1"/>
  <c r="A233" i="1"/>
  <c r="B233" i="1"/>
  <c r="A234" i="1"/>
  <c r="B234" i="1"/>
  <c r="A235" i="1"/>
  <c r="B235" i="1"/>
  <c r="A236" i="1"/>
  <c r="B236" i="1"/>
  <c r="A237" i="1"/>
  <c r="A238" i="1"/>
  <c r="A239" i="1"/>
  <c r="B239" i="1"/>
  <c r="A240" i="1"/>
  <c r="A241" i="1"/>
  <c r="B241" i="1"/>
  <c r="A242" i="1"/>
  <c r="A243" i="1"/>
  <c r="B243" i="1"/>
  <c r="A244" i="1"/>
  <c r="B244" i="1"/>
  <c r="A245" i="1"/>
  <c r="B245" i="1"/>
  <c r="A246" i="1"/>
  <c r="B246" i="1"/>
  <c r="A247" i="1"/>
  <c r="B247" i="1"/>
  <c r="A248" i="1"/>
  <c r="B248" i="1"/>
  <c r="A249" i="1"/>
  <c r="B249" i="1"/>
  <c r="A250" i="1"/>
  <c r="B250" i="1"/>
  <c r="A251" i="1"/>
  <c r="A252" i="1"/>
  <c r="B252" i="1"/>
  <c r="A253" i="1"/>
  <c r="B253" i="1"/>
  <c r="A254" i="1"/>
  <c r="A255" i="1"/>
  <c r="A256" i="1"/>
  <c r="A257" i="1"/>
  <c r="A258" i="1"/>
  <c r="A259" i="1"/>
  <c r="B259" i="1"/>
  <c r="A260" i="1"/>
  <c r="B260" i="1"/>
  <c r="A261" i="1"/>
  <c r="B261" i="1"/>
  <c r="A262" i="1"/>
  <c r="B262" i="1"/>
  <c r="A263" i="1"/>
  <c r="B263" i="1"/>
  <c r="A264" i="1"/>
  <c r="B264" i="1"/>
  <c r="A265" i="1"/>
  <c r="B265" i="1"/>
  <c r="A266" i="1"/>
  <c r="B266" i="1"/>
  <c r="A267" i="1"/>
  <c r="B267" i="1"/>
  <c r="A268" i="1"/>
  <c r="B268" i="1"/>
  <c r="A269" i="1"/>
  <c r="B269" i="1"/>
  <c r="A270" i="1"/>
  <c r="B270" i="1"/>
  <c r="A271" i="1"/>
  <c r="B271" i="1"/>
  <c r="A272" i="1"/>
  <c r="B272" i="1"/>
  <c r="A273" i="1"/>
  <c r="A274" i="1"/>
  <c r="B274" i="1"/>
  <c r="A275" i="1"/>
  <c r="B275" i="1"/>
  <c r="A276" i="1"/>
  <c r="A277" i="1"/>
  <c r="A278" i="1"/>
  <c r="B278" i="1"/>
  <c r="A279" i="1"/>
  <c r="B279" i="1"/>
  <c r="A280" i="1"/>
  <c r="A281" i="1"/>
  <c r="B281" i="1"/>
  <c r="A282" i="1"/>
  <c r="B282" i="1"/>
  <c r="A283" i="1"/>
  <c r="B283" i="1"/>
  <c r="A284" i="1"/>
  <c r="A285" i="1"/>
  <c r="A286" i="1"/>
  <c r="B286" i="1"/>
  <c r="A287" i="1"/>
  <c r="B287" i="1"/>
  <c r="A288" i="1"/>
  <c r="A289" i="1"/>
  <c r="B289" i="1"/>
  <c r="A290" i="1"/>
  <c r="B290" i="1"/>
  <c r="A291" i="1"/>
  <c r="B291" i="1"/>
  <c r="A292" i="1"/>
  <c r="B292" i="1"/>
  <c r="A293" i="1"/>
  <c r="B293" i="1"/>
  <c r="A294" i="1"/>
  <c r="B294" i="1"/>
  <c r="A295" i="1"/>
  <c r="B295" i="1"/>
  <c r="A296" i="1"/>
  <c r="B296" i="1"/>
  <c r="A297" i="1"/>
  <c r="A298" i="1"/>
  <c r="B298" i="1"/>
  <c r="A299" i="1"/>
  <c r="B299" i="1"/>
  <c r="A300" i="1"/>
  <c r="B300" i="1"/>
  <c r="A301" i="1"/>
  <c r="B301" i="1"/>
  <c r="A302" i="1"/>
  <c r="B302" i="1"/>
  <c r="A303" i="1"/>
  <c r="B303" i="1"/>
  <c r="A304" i="1"/>
  <c r="B304" i="1"/>
  <c r="A305" i="1"/>
  <c r="B305" i="1"/>
  <c r="A306" i="1"/>
  <c r="B306" i="1"/>
  <c r="A307" i="1"/>
  <c r="B307" i="1"/>
  <c r="A308" i="1"/>
  <c r="B308" i="1"/>
  <c r="A309" i="1"/>
  <c r="B309" i="1"/>
  <c r="A310" i="1"/>
  <c r="A311" i="1"/>
  <c r="A312" i="1"/>
  <c r="B312" i="1"/>
  <c r="A313" i="1"/>
  <c r="B313" i="1"/>
  <c r="A314" i="1"/>
  <c r="B314" i="1"/>
  <c r="A315" i="1"/>
  <c r="B315" i="1"/>
  <c r="A316" i="1"/>
  <c r="B316" i="1"/>
  <c r="A317" i="1"/>
  <c r="A318" i="1"/>
  <c r="B318" i="1"/>
  <c r="A319" i="1"/>
  <c r="B319" i="1"/>
  <c r="A320" i="1"/>
  <c r="B320" i="1"/>
  <c r="A321" i="1"/>
  <c r="B321" i="1"/>
  <c r="A322" i="1"/>
  <c r="B322" i="1"/>
  <c r="A323" i="1"/>
  <c r="B323" i="1"/>
  <c r="A324" i="1"/>
  <c r="A325" i="1"/>
  <c r="B325" i="1"/>
  <c r="A326" i="1"/>
  <c r="B326" i="1"/>
  <c r="A327" i="1"/>
  <c r="B327" i="1"/>
  <c r="A328" i="1"/>
  <c r="B328" i="1"/>
  <c r="A329" i="1"/>
  <c r="B329" i="1"/>
  <c r="A330" i="1"/>
  <c r="B330" i="1"/>
  <c r="A331" i="1"/>
  <c r="B331" i="1"/>
  <c r="A332" i="1"/>
  <c r="B332" i="1"/>
  <c r="A333" i="1"/>
  <c r="B333" i="1"/>
  <c r="A334" i="1"/>
  <c r="B334" i="1"/>
  <c r="A335" i="1"/>
  <c r="B335" i="1"/>
  <c r="A336" i="1"/>
  <c r="B336" i="1"/>
  <c r="A337" i="1"/>
  <c r="B337" i="1"/>
  <c r="A338" i="1"/>
  <c r="A339" i="1"/>
  <c r="B339" i="1"/>
  <c r="A340" i="1"/>
  <c r="B340" i="1"/>
  <c r="A341" i="1"/>
  <c r="B341" i="1"/>
  <c r="A342" i="1"/>
  <c r="A343" i="1"/>
  <c r="B343" i="1"/>
  <c r="A344" i="1"/>
  <c r="A345" i="1"/>
  <c r="A346" i="1"/>
  <c r="A347" i="1"/>
  <c r="A348" i="1"/>
  <c r="B348" i="1"/>
  <c r="A349" i="1"/>
  <c r="B349" i="1"/>
  <c r="A350" i="1"/>
  <c r="B350" i="1"/>
  <c r="A351" i="1"/>
  <c r="B351" i="1"/>
  <c r="A352" i="1"/>
  <c r="B352" i="1"/>
  <c r="A353" i="1"/>
  <c r="B353" i="1"/>
  <c r="A354" i="1"/>
  <c r="B354" i="1"/>
  <c r="A355" i="1"/>
  <c r="B355" i="1"/>
  <c r="A356" i="1"/>
  <c r="A357" i="1"/>
  <c r="B357" i="1"/>
  <c r="A358" i="1"/>
  <c r="B358" i="1"/>
  <c r="A359" i="1"/>
  <c r="B359" i="1"/>
  <c r="A360" i="1"/>
  <c r="A361" i="1"/>
  <c r="B361" i="1"/>
  <c r="A362" i="1"/>
  <c r="B362" i="1"/>
  <c r="A363" i="1"/>
  <c r="B363" i="1"/>
  <c r="A364" i="1"/>
  <c r="B364" i="1"/>
  <c r="A365" i="1"/>
  <c r="B365" i="1"/>
  <c r="A366" i="1"/>
  <c r="B366" i="1"/>
  <c r="A367" i="1"/>
  <c r="B367" i="1"/>
  <c r="A368" i="1"/>
  <c r="A369" i="1"/>
  <c r="B369" i="1"/>
  <c r="A370" i="1"/>
  <c r="B370" i="1"/>
  <c r="A371" i="1"/>
  <c r="B371" i="1"/>
  <c r="A372" i="1"/>
  <c r="A373" i="1"/>
  <c r="B373" i="1"/>
  <c r="A374" i="1"/>
  <c r="B374" i="1"/>
  <c r="A375" i="1"/>
  <c r="B375" i="1"/>
  <c r="A376" i="1"/>
  <c r="A377" i="1"/>
  <c r="B377" i="1"/>
  <c r="A378" i="1"/>
  <c r="B378" i="1"/>
  <c r="A379" i="1"/>
  <c r="B379" i="1"/>
  <c r="A380" i="1"/>
  <c r="A381" i="1"/>
  <c r="A382" i="1"/>
  <c r="A383" i="1"/>
  <c r="A384" i="1"/>
  <c r="B384" i="1"/>
  <c r="A385" i="1"/>
  <c r="B385" i="1"/>
  <c r="A386" i="1"/>
  <c r="A387" i="1"/>
  <c r="A388" i="1"/>
  <c r="A389" i="1"/>
  <c r="B389" i="1"/>
  <c r="A390" i="1"/>
  <c r="B390" i="1"/>
  <c r="A391" i="1"/>
  <c r="B391" i="1"/>
  <c r="A392" i="1"/>
  <c r="B392" i="1"/>
  <c r="A393" i="1"/>
  <c r="B393" i="1"/>
  <c r="A394" i="1"/>
  <c r="B394" i="1"/>
  <c r="A395" i="1"/>
  <c r="A396" i="1"/>
  <c r="A397" i="1"/>
  <c r="A398" i="1"/>
  <c r="A399" i="1"/>
  <c r="A400" i="1"/>
  <c r="A401" i="1"/>
  <c r="B401" i="1"/>
  <c r="A402" i="1"/>
  <c r="B402" i="1"/>
  <c r="A403" i="1"/>
  <c r="B403" i="1"/>
  <c r="A404" i="1"/>
  <c r="B404" i="1"/>
  <c r="A405" i="1"/>
  <c r="B405" i="1"/>
  <c r="A406" i="1"/>
  <c r="B406" i="1"/>
  <c r="A407" i="1"/>
  <c r="B407" i="1"/>
  <c r="A408" i="1"/>
  <c r="B408" i="1"/>
  <c r="A409" i="1"/>
  <c r="B409" i="1"/>
  <c r="A410" i="1"/>
  <c r="B410" i="1"/>
  <c r="A411" i="1"/>
  <c r="A412" i="1"/>
  <c r="B412" i="1"/>
  <c r="A413" i="1"/>
  <c r="B413" i="1"/>
  <c r="A414" i="1"/>
  <c r="B414" i="1"/>
  <c r="A415" i="1"/>
  <c r="B415" i="1"/>
  <c r="A416" i="1"/>
  <c r="B416" i="1"/>
  <c r="A417" i="1"/>
  <c r="B417" i="1"/>
  <c r="A418" i="1"/>
  <c r="B418" i="1"/>
  <c r="A419" i="1"/>
  <c r="B419" i="1"/>
  <c r="A420" i="1"/>
  <c r="A421" i="1"/>
  <c r="A422" i="1"/>
  <c r="B422" i="1"/>
  <c r="A423" i="1"/>
  <c r="B423" i="1"/>
  <c r="A424" i="1"/>
  <c r="A425" i="1"/>
  <c r="B425" i="1"/>
  <c r="A426" i="1"/>
  <c r="A427" i="1"/>
  <c r="A428" i="1"/>
  <c r="B428" i="1"/>
  <c r="A429" i="1"/>
  <c r="A430" i="1"/>
  <c r="B430" i="1"/>
  <c r="A431" i="1"/>
  <c r="B431" i="1"/>
  <c r="A432" i="1"/>
  <c r="B432" i="1"/>
  <c r="A433" i="1"/>
  <c r="B433" i="1"/>
  <c r="A434" i="1"/>
  <c r="B434" i="1"/>
  <c r="A435" i="1"/>
  <c r="A436" i="1"/>
  <c r="A437" i="1"/>
  <c r="A438" i="1"/>
  <c r="B438" i="1"/>
  <c r="A439" i="1"/>
  <c r="B439" i="1"/>
  <c r="A440" i="1"/>
  <c r="B440" i="1"/>
  <c r="A441" i="1"/>
  <c r="A442" i="1"/>
  <c r="B442" i="1"/>
  <c r="A443" i="1"/>
  <c r="B443" i="1"/>
  <c r="A444" i="1"/>
  <c r="A445" i="1"/>
  <c r="B445" i="1"/>
  <c r="A446" i="1"/>
  <c r="B446" i="1"/>
  <c r="A447" i="1"/>
  <c r="B447" i="1"/>
  <c r="A448" i="1"/>
  <c r="A449" i="1"/>
  <c r="B449" i="1"/>
  <c r="A450" i="1"/>
  <c r="B450" i="1"/>
  <c r="A451" i="1"/>
  <c r="B451" i="1"/>
  <c r="A452" i="1"/>
  <c r="A453" i="1"/>
  <c r="A454" i="1"/>
  <c r="A455" i="1"/>
  <c r="A456" i="1"/>
  <c r="B456" i="1"/>
  <c r="A457" i="1"/>
  <c r="B457" i="1"/>
  <c r="A458" i="1"/>
  <c r="B458" i="1"/>
  <c r="A459" i="1"/>
  <c r="B459" i="1"/>
  <c r="A460" i="1"/>
  <c r="B460" i="1"/>
  <c r="A461" i="1"/>
  <c r="B461" i="1"/>
  <c r="A462" i="1"/>
  <c r="B462" i="1"/>
  <c r="A463" i="1"/>
  <c r="B463" i="1"/>
  <c r="A464" i="1"/>
  <c r="B464" i="1"/>
  <c r="A465" i="1"/>
  <c r="B465" i="1"/>
  <c r="A466" i="1"/>
  <c r="B466" i="1"/>
  <c r="A467" i="1"/>
  <c r="A468" i="1"/>
  <c r="B468" i="1"/>
  <c r="A469" i="1"/>
  <c r="B469" i="1"/>
  <c r="A470" i="1"/>
  <c r="B470" i="1"/>
  <c r="A471" i="1"/>
  <c r="B471" i="1"/>
  <c r="A472" i="1"/>
  <c r="B472" i="1"/>
  <c r="A473" i="1"/>
  <c r="B473" i="1"/>
  <c r="A474" i="1"/>
  <c r="B474" i="1"/>
  <c r="A475" i="1"/>
  <c r="A476" i="1"/>
  <c r="B476" i="1"/>
  <c r="A477" i="1"/>
  <c r="B477" i="1"/>
  <c r="A478" i="1"/>
  <c r="A479" i="1"/>
  <c r="B479" i="1"/>
  <c r="A480" i="1"/>
  <c r="B480" i="1"/>
  <c r="A481" i="1"/>
  <c r="B481" i="1"/>
  <c r="A482" i="1"/>
  <c r="B482" i="1"/>
  <c r="A483" i="1"/>
  <c r="B483" i="1"/>
  <c r="A484" i="1"/>
  <c r="B484" i="1"/>
  <c r="A485" i="1"/>
  <c r="A486" i="1"/>
  <c r="A487" i="1"/>
  <c r="A488" i="1"/>
  <c r="B488" i="1"/>
  <c r="A489" i="1"/>
  <c r="B489" i="1"/>
  <c r="A490" i="1"/>
  <c r="B490" i="1"/>
  <c r="A491" i="1"/>
  <c r="B491" i="1"/>
  <c r="A492" i="1"/>
  <c r="B492" i="1"/>
  <c r="A493" i="1"/>
  <c r="B493" i="1"/>
  <c r="A494" i="1"/>
  <c r="A495" i="1"/>
  <c r="B495" i="1"/>
  <c r="A496" i="1"/>
  <c r="B496" i="1"/>
  <c r="A497" i="1"/>
  <c r="B497" i="1"/>
  <c r="A498" i="1"/>
  <c r="B498" i="1"/>
  <c r="A499" i="1"/>
  <c r="B499" i="1"/>
  <c r="A500" i="1"/>
  <c r="B500" i="1"/>
  <c r="A501" i="1"/>
  <c r="B501" i="1"/>
  <c r="A502" i="1"/>
  <c r="B502" i="1"/>
  <c r="A503" i="1"/>
  <c r="B503" i="1"/>
  <c r="A504" i="1"/>
  <c r="B504" i="1"/>
  <c r="A505" i="1"/>
  <c r="B505" i="1"/>
  <c r="A506" i="1"/>
  <c r="B506" i="1"/>
  <c r="A507" i="1"/>
  <c r="B507" i="1"/>
  <c r="A508" i="1"/>
  <c r="B508" i="1"/>
  <c r="A509" i="1"/>
  <c r="B509" i="1"/>
  <c r="A510" i="1"/>
  <c r="B510" i="1"/>
  <c r="A511" i="1"/>
  <c r="B511" i="1"/>
  <c r="A512" i="1"/>
  <c r="B512" i="1"/>
  <c r="A513" i="1"/>
  <c r="B513" i="1"/>
  <c r="A514" i="1"/>
  <c r="B514" i="1"/>
  <c r="A515" i="1"/>
  <c r="B515" i="1"/>
  <c r="A516" i="1"/>
  <c r="B516" i="1"/>
  <c r="A517" i="1"/>
  <c r="B517" i="1"/>
  <c r="A518" i="1"/>
  <c r="B518" i="1"/>
  <c r="A519" i="1"/>
  <c r="B519" i="1"/>
  <c r="A520" i="1"/>
  <c r="B520" i="1"/>
  <c r="A521" i="1"/>
  <c r="A522" i="1"/>
  <c r="B522" i="1"/>
  <c r="A523" i="1"/>
  <c r="B523" i="1"/>
  <c r="A524" i="1"/>
  <c r="B524" i="1"/>
  <c r="A525" i="1"/>
  <c r="B525" i="1"/>
  <c r="A526" i="1"/>
  <c r="B526" i="1"/>
  <c r="A527" i="1"/>
  <c r="B527" i="1"/>
  <c r="A528" i="1"/>
  <c r="B528" i="1"/>
  <c r="A529" i="1"/>
  <c r="B529" i="1"/>
  <c r="A530" i="1"/>
  <c r="B530" i="1"/>
  <c r="A531" i="1"/>
  <c r="B531" i="1"/>
  <c r="A532" i="1"/>
  <c r="B532" i="1"/>
  <c r="A533" i="1"/>
  <c r="A534" i="1"/>
  <c r="A535" i="1"/>
  <c r="A536" i="1"/>
  <c r="A537" i="1"/>
  <c r="B537" i="1"/>
  <c r="A538" i="1"/>
  <c r="A539" i="1"/>
  <c r="B539" i="1"/>
  <c r="A540" i="1"/>
  <c r="A541" i="1"/>
  <c r="A542" i="1"/>
  <c r="A543" i="1"/>
  <c r="B543" i="1"/>
  <c r="A544" i="1"/>
  <c r="B544" i="1"/>
  <c r="A545" i="1"/>
  <c r="B545" i="1"/>
  <c r="A546" i="1"/>
  <c r="B546" i="1"/>
  <c r="A547" i="1"/>
  <c r="B547" i="1"/>
  <c r="A548" i="1"/>
  <c r="B548" i="1"/>
  <c r="A549" i="1"/>
  <c r="A550" i="1"/>
  <c r="B550" i="1"/>
  <c r="A551" i="1"/>
  <c r="B551" i="1"/>
  <c r="A552" i="1"/>
  <c r="B552" i="1"/>
  <c r="A553" i="1"/>
  <c r="B553" i="1"/>
  <c r="A554" i="1"/>
  <c r="A555" i="1"/>
  <c r="B555" i="1"/>
  <c r="A556" i="1"/>
  <c r="B556" i="1"/>
  <c r="A557" i="1"/>
  <c r="B557" i="1"/>
  <c r="A558" i="1"/>
  <c r="B558" i="1"/>
  <c r="A559" i="1"/>
  <c r="B559" i="1"/>
  <c r="A560" i="1"/>
  <c r="A561" i="1"/>
  <c r="B561" i="1"/>
  <c r="A562" i="1"/>
  <c r="A563" i="1"/>
  <c r="A564" i="1"/>
  <c r="B564" i="1"/>
  <c r="A565" i="1"/>
  <c r="B565" i="1"/>
  <c r="A566" i="1"/>
  <c r="B566" i="1"/>
  <c r="A567" i="1"/>
  <c r="A568" i="1"/>
  <c r="B568" i="1"/>
  <c r="A569" i="1"/>
  <c r="B569" i="1"/>
  <c r="A570" i="1"/>
  <c r="A571" i="1"/>
  <c r="A572" i="1"/>
  <c r="A573" i="1"/>
  <c r="A574" i="1"/>
  <c r="A575" i="1"/>
  <c r="B575" i="1"/>
  <c r="A576" i="1"/>
  <c r="B576" i="1"/>
  <c r="A577" i="1"/>
  <c r="B577" i="1"/>
  <c r="A578" i="1"/>
  <c r="B578" i="1"/>
  <c r="A579" i="1"/>
  <c r="B579" i="1"/>
  <c r="A580" i="1"/>
  <c r="B580" i="1"/>
  <c r="A581" i="1"/>
  <c r="B581" i="1"/>
  <c r="A582" i="1"/>
  <c r="B582" i="1"/>
  <c r="A583" i="1"/>
  <c r="B583" i="1"/>
  <c r="A584" i="1"/>
  <c r="B584" i="1"/>
  <c r="A585" i="1"/>
  <c r="A586" i="1"/>
  <c r="A587" i="1"/>
  <c r="B587" i="1"/>
  <c r="A588" i="1"/>
  <c r="B588" i="1"/>
  <c r="A589" i="1"/>
  <c r="B589" i="1"/>
  <c r="A590" i="1"/>
  <c r="A591" i="1"/>
  <c r="B591" i="1"/>
  <c r="A592" i="1"/>
  <c r="B592" i="1"/>
  <c r="A593" i="1"/>
  <c r="B593" i="1"/>
  <c r="A594" i="1"/>
  <c r="B594" i="1"/>
  <c r="A595" i="1"/>
  <c r="A596" i="1"/>
  <c r="B596" i="1"/>
  <c r="A597" i="1"/>
  <c r="B597" i="1"/>
  <c r="A598" i="1"/>
  <c r="B598" i="1"/>
  <c r="A599" i="1"/>
  <c r="A600" i="1"/>
  <c r="B600" i="1"/>
  <c r="A601" i="1"/>
  <c r="B601" i="1"/>
  <c r="A602" i="1"/>
  <c r="B602" i="1"/>
  <c r="A603" i="1"/>
  <c r="B603" i="1"/>
  <c r="A604" i="1"/>
  <c r="B604" i="1"/>
  <c r="A605" i="1"/>
  <c r="B605" i="1"/>
  <c r="A606" i="1"/>
  <c r="A607" i="1"/>
  <c r="A608" i="1"/>
  <c r="B608" i="1"/>
  <c r="A609" i="1"/>
  <c r="B609" i="1"/>
  <c r="A610" i="1"/>
  <c r="B610" i="1"/>
  <c r="A611" i="1"/>
  <c r="A612" i="1"/>
  <c r="B612" i="1"/>
  <c r="A613" i="1"/>
  <c r="B613" i="1"/>
  <c r="A614" i="1"/>
  <c r="B614" i="1"/>
  <c r="A615" i="1"/>
  <c r="B615" i="1"/>
  <c r="A616" i="1"/>
  <c r="B616" i="1"/>
  <c r="A617" i="1"/>
  <c r="B617" i="1"/>
  <c r="A618" i="1"/>
  <c r="B618" i="1"/>
  <c r="A619" i="1"/>
  <c r="B619" i="1"/>
  <c r="A620" i="1"/>
  <c r="A621" i="1"/>
  <c r="A622" i="1"/>
  <c r="B622" i="1"/>
  <c r="A623" i="1"/>
  <c r="A624" i="1"/>
  <c r="A625" i="1"/>
  <c r="B625" i="1"/>
  <c r="A626" i="1"/>
  <c r="A627" i="1"/>
  <c r="A628" i="1"/>
  <c r="B628" i="1"/>
  <c r="A629" i="1"/>
  <c r="B629" i="1"/>
  <c r="A630" i="1"/>
  <c r="B630" i="1"/>
  <c r="A631" i="1"/>
  <c r="A632" i="1"/>
  <c r="B632" i="1"/>
  <c r="A633" i="1"/>
  <c r="B633" i="1"/>
  <c r="A634" i="1"/>
  <c r="B634" i="1"/>
  <c r="A635" i="1"/>
  <c r="A636" i="1"/>
  <c r="B636" i="1"/>
  <c r="A637" i="1"/>
  <c r="A638" i="1"/>
  <c r="B638" i="1"/>
  <c r="A639" i="1"/>
  <c r="B639" i="1"/>
  <c r="A640" i="1"/>
  <c r="B640" i="1"/>
  <c r="A641" i="1"/>
  <c r="B641" i="1"/>
  <c r="A642" i="1"/>
  <c r="B642" i="1"/>
  <c r="A643" i="1"/>
  <c r="B643" i="1"/>
  <c r="A644" i="1"/>
  <c r="B644" i="1"/>
  <c r="A645" i="1"/>
  <c r="B645" i="1"/>
  <c r="A646" i="1"/>
  <c r="B646" i="1"/>
  <c r="A647" i="1"/>
  <c r="B647" i="1"/>
  <c r="A648" i="1"/>
  <c r="A649" i="1"/>
  <c r="A650" i="1"/>
  <c r="B650" i="1"/>
  <c r="A651" i="1"/>
  <c r="B651" i="1"/>
  <c r="A652" i="1"/>
  <c r="B652" i="1"/>
  <c r="A653" i="1"/>
  <c r="B653" i="1"/>
  <c r="A654" i="1"/>
  <c r="B654" i="1"/>
  <c r="A655" i="1"/>
  <c r="B655" i="1"/>
  <c r="A656" i="1"/>
  <c r="B656" i="1"/>
  <c r="A657" i="1"/>
  <c r="B657" i="1"/>
  <c r="A658" i="1"/>
  <c r="B658" i="1"/>
  <c r="A659" i="1"/>
  <c r="B659" i="1"/>
  <c r="A660" i="1"/>
  <c r="B660" i="1"/>
  <c r="A661" i="1"/>
  <c r="A662" i="1"/>
  <c r="B662" i="1"/>
  <c r="A663" i="1"/>
  <c r="B663" i="1"/>
  <c r="A664" i="1"/>
  <c r="B664" i="1"/>
  <c r="A665" i="1"/>
  <c r="B665" i="1"/>
  <c r="A666" i="1"/>
  <c r="A667" i="1"/>
  <c r="B667" i="1"/>
  <c r="A668" i="1"/>
  <c r="B668" i="1"/>
  <c r="A669" i="1"/>
  <c r="B669" i="1"/>
  <c r="A670" i="1"/>
  <c r="B670" i="1"/>
  <c r="A671" i="1"/>
  <c r="B671" i="1"/>
  <c r="A672" i="1"/>
  <c r="B672" i="1"/>
  <c r="A673" i="1"/>
  <c r="B673" i="1"/>
  <c r="A674" i="1"/>
  <c r="A675" i="1"/>
  <c r="A676" i="1"/>
  <c r="B676" i="1"/>
  <c r="A677" i="1"/>
  <c r="B677" i="1"/>
  <c r="A678" i="1"/>
  <c r="B678" i="1"/>
  <c r="A679" i="1"/>
  <c r="B679" i="1"/>
  <c r="A680" i="1"/>
  <c r="B680" i="1"/>
  <c r="A681" i="1"/>
  <c r="A682" i="1"/>
  <c r="B682" i="1"/>
  <c r="A683" i="1"/>
  <c r="B683" i="1"/>
  <c r="A684" i="1"/>
  <c r="B684" i="1"/>
  <c r="A685" i="1"/>
  <c r="B685" i="1"/>
  <c r="A686" i="1"/>
  <c r="B686" i="1"/>
  <c r="A687" i="1"/>
  <c r="A688" i="1"/>
  <c r="B688" i="1"/>
  <c r="A689" i="1"/>
  <c r="B689" i="1"/>
  <c r="A690" i="1"/>
  <c r="B690" i="1"/>
  <c r="A691" i="1"/>
  <c r="B691" i="1"/>
  <c r="A692" i="1"/>
  <c r="B692" i="1"/>
  <c r="A693" i="1"/>
  <c r="B693" i="1"/>
  <c r="A694" i="1"/>
  <c r="B694" i="1"/>
  <c r="A695" i="1"/>
  <c r="B695" i="1"/>
  <c r="A696" i="1"/>
  <c r="B696" i="1"/>
  <c r="A697" i="1"/>
  <c r="A698" i="1"/>
  <c r="B698" i="1"/>
  <c r="A699" i="1"/>
  <c r="A700" i="1"/>
  <c r="A701" i="1"/>
  <c r="B701" i="1"/>
  <c r="A702" i="1"/>
  <c r="B702" i="1"/>
  <c r="A703" i="1"/>
  <c r="B703" i="1"/>
  <c r="A704" i="1"/>
  <c r="B704" i="1"/>
  <c r="A705" i="1"/>
  <c r="B705" i="1"/>
  <c r="A706" i="1"/>
  <c r="B706" i="1"/>
  <c r="A707" i="1"/>
  <c r="B707" i="1"/>
  <c r="A708" i="1"/>
  <c r="B708" i="1"/>
  <c r="A709" i="1"/>
  <c r="B709" i="1"/>
  <c r="A710" i="1"/>
  <c r="B710" i="1"/>
  <c r="A711" i="1"/>
  <c r="A712" i="1"/>
  <c r="B712" i="1"/>
  <c r="A713" i="1"/>
  <c r="B713" i="1"/>
  <c r="A714" i="1"/>
  <c r="A715" i="1"/>
  <c r="B715" i="1"/>
  <c r="A716" i="1"/>
  <c r="B716" i="1"/>
  <c r="A717" i="1"/>
  <c r="B717" i="1"/>
  <c r="A718" i="1"/>
  <c r="B718" i="1"/>
  <c r="A719" i="1"/>
  <c r="B719" i="1"/>
  <c r="A720" i="1"/>
  <c r="B720" i="1"/>
  <c r="A721" i="1"/>
  <c r="A722" i="1"/>
  <c r="B722" i="1"/>
  <c r="A723" i="1"/>
  <c r="A724" i="1"/>
  <c r="B724" i="1"/>
  <c r="A725" i="1"/>
  <c r="B725" i="1"/>
  <c r="A726" i="1"/>
  <c r="A727" i="1"/>
  <c r="B727" i="1"/>
  <c r="A728" i="1"/>
  <c r="B728" i="1"/>
  <c r="A729" i="1"/>
  <c r="B729" i="1"/>
  <c r="A730" i="1"/>
  <c r="B730" i="1"/>
  <c r="A731" i="1"/>
  <c r="B731" i="1"/>
  <c r="A732" i="1"/>
  <c r="B732" i="1"/>
  <c r="A733" i="1"/>
  <c r="B733" i="1"/>
  <c r="A734" i="1"/>
  <c r="A735" i="1"/>
  <c r="B735" i="1"/>
  <c r="A736" i="1"/>
  <c r="B736" i="1"/>
  <c r="A737" i="1"/>
  <c r="B737" i="1"/>
  <c r="A738" i="1"/>
  <c r="B738" i="1"/>
  <c r="A739" i="1"/>
  <c r="B739" i="1"/>
  <c r="A740" i="1"/>
  <c r="B740" i="1"/>
  <c r="A741" i="1"/>
  <c r="B741" i="1"/>
  <c r="A742" i="1"/>
  <c r="B742" i="1"/>
  <c r="A743" i="1"/>
  <c r="B743" i="1"/>
  <c r="A744" i="1"/>
  <c r="A745" i="1"/>
  <c r="B745" i="1"/>
  <c r="A746" i="1"/>
  <c r="B746" i="1"/>
  <c r="A747" i="1"/>
  <c r="B747" i="1"/>
  <c r="A748" i="1"/>
  <c r="B748" i="1"/>
  <c r="A749" i="1"/>
  <c r="B749" i="1"/>
  <c r="A750" i="1"/>
  <c r="B750" i="1"/>
  <c r="A751" i="1"/>
  <c r="B751" i="1"/>
  <c r="A752" i="1"/>
  <c r="A753" i="1"/>
  <c r="B753" i="1"/>
  <c r="A754" i="1"/>
  <c r="B754" i="1"/>
  <c r="A755" i="1"/>
  <c r="B755" i="1"/>
  <c r="A756" i="1"/>
  <c r="B756" i="1"/>
  <c r="A757" i="1"/>
  <c r="B757" i="1"/>
  <c r="A758" i="1"/>
  <c r="B758" i="1"/>
  <c r="A759" i="1"/>
  <c r="B759" i="1"/>
  <c r="A760" i="1"/>
  <c r="B760" i="1"/>
  <c r="A761" i="1"/>
  <c r="B761" i="1"/>
  <c r="A762" i="1"/>
  <c r="B762" i="1"/>
  <c r="A763" i="1"/>
  <c r="B763" i="1"/>
  <c r="A764" i="1"/>
  <c r="B764" i="1"/>
  <c r="A765" i="1"/>
  <c r="B765" i="1"/>
  <c r="A766" i="1"/>
  <c r="B766" i="1"/>
  <c r="A767" i="1"/>
  <c r="B767" i="1"/>
  <c r="A768" i="1"/>
  <c r="B768" i="1"/>
  <c r="A769" i="1"/>
  <c r="B769" i="1"/>
  <c r="A770" i="1"/>
  <c r="B770" i="1"/>
  <c r="A771" i="1"/>
  <c r="B771" i="1"/>
  <c r="A772" i="1"/>
  <c r="B772" i="1"/>
  <c r="A773" i="1"/>
  <c r="B773" i="1"/>
  <c r="A774" i="1"/>
  <c r="B774" i="1"/>
  <c r="A775" i="1"/>
  <c r="B775" i="1"/>
  <c r="A776" i="1"/>
  <c r="A777" i="1"/>
  <c r="A778" i="1"/>
  <c r="B778" i="1"/>
  <c r="A779" i="1"/>
  <c r="B779" i="1"/>
  <c r="A780" i="1"/>
  <c r="B780" i="1"/>
  <c r="A781" i="1"/>
  <c r="B781" i="1"/>
  <c r="A782" i="1"/>
  <c r="A783" i="1"/>
  <c r="B783" i="1"/>
  <c r="A784" i="1"/>
  <c r="B784" i="1"/>
  <c r="A785" i="1"/>
  <c r="B785" i="1"/>
  <c r="A786" i="1"/>
  <c r="B786" i="1"/>
  <c r="A787" i="1"/>
  <c r="B787" i="1"/>
  <c r="A788" i="1"/>
  <c r="B788" i="1"/>
  <c r="A789" i="1"/>
  <c r="B789" i="1"/>
  <c r="A790" i="1"/>
  <c r="B790" i="1"/>
  <c r="A791" i="1"/>
  <c r="B791" i="1"/>
  <c r="A792" i="1"/>
  <c r="B792" i="1"/>
  <c r="A793" i="1"/>
  <c r="B793" i="1"/>
  <c r="A794" i="1"/>
  <c r="B794" i="1"/>
  <c r="A795" i="1"/>
  <c r="B795" i="1"/>
  <c r="A796" i="1"/>
  <c r="B796" i="1"/>
  <c r="A797" i="1"/>
  <c r="B797" i="1"/>
  <c r="A798" i="1"/>
  <c r="B798" i="1"/>
  <c r="A799" i="1"/>
  <c r="B799" i="1"/>
  <c r="A800" i="1"/>
  <c r="B800" i="1"/>
  <c r="A801" i="1"/>
  <c r="B801" i="1"/>
  <c r="A802" i="1"/>
  <c r="A803" i="1"/>
  <c r="A804" i="1"/>
  <c r="B804" i="1"/>
  <c r="A805" i="1"/>
  <c r="B805" i="1"/>
  <c r="A806" i="1"/>
  <c r="B806" i="1"/>
  <c r="A807" i="1"/>
  <c r="A808" i="1"/>
  <c r="B808" i="1"/>
  <c r="A809" i="1"/>
  <c r="A810" i="1"/>
  <c r="B810" i="1"/>
  <c r="A811" i="1"/>
  <c r="B811" i="1"/>
  <c r="A812" i="1"/>
  <c r="B812" i="1"/>
  <c r="A813" i="1"/>
  <c r="B813" i="1"/>
  <c r="A814" i="1"/>
  <c r="B814" i="1"/>
  <c r="A815" i="1"/>
  <c r="B815" i="1"/>
  <c r="A816" i="1"/>
  <c r="B816" i="1"/>
  <c r="A817" i="1"/>
  <c r="A818" i="1"/>
  <c r="B818" i="1"/>
  <c r="A819" i="1"/>
  <c r="A820" i="1"/>
  <c r="B820" i="1"/>
  <c r="A821" i="1"/>
  <c r="B821" i="1"/>
  <c r="A822" i="1"/>
  <c r="B822" i="1"/>
  <c r="A823" i="1"/>
  <c r="B823" i="1"/>
  <c r="A824" i="1"/>
  <c r="B824" i="1"/>
  <c r="A825" i="1"/>
  <c r="A826" i="1"/>
  <c r="A827" i="1"/>
  <c r="B827" i="1"/>
  <c r="A828" i="1"/>
  <c r="B828" i="1"/>
  <c r="A829" i="1"/>
  <c r="B829" i="1"/>
  <c r="A830" i="1"/>
  <c r="B830" i="1"/>
  <c r="A831" i="1"/>
  <c r="B831" i="1"/>
  <c r="A832" i="1"/>
  <c r="B832" i="1"/>
  <c r="A833" i="1"/>
  <c r="B833" i="1"/>
  <c r="A834" i="1"/>
  <c r="B834" i="1"/>
  <c r="A835" i="1"/>
  <c r="A836" i="1"/>
  <c r="A837" i="1"/>
  <c r="A838" i="1"/>
  <c r="A839" i="1"/>
  <c r="A840" i="1"/>
  <c r="B840" i="1"/>
  <c r="A841" i="1"/>
  <c r="B841" i="1"/>
  <c r="A842" i="1"/>
  <c r="B842" i="1"/>
  <c r="A843" i="1"/>
  <c r="B843" i="1"/>
  <c r="A844" i="1"/>
  <c r="B844" i="1"/>
  <c r="A845" i="1"/>
  <c r="B845" i="1"/>
  <c r="A846" i="1"/>
  <c r="B846" i="1"/>
  <c r="A847" i="1"/>
  <c r="B847" i="1"/>
  <c r="A848" i="1"/>
  <c r="A849" i="1"/>
  <c r="B849" i="1"/>
  <c r="A850" i="1"/>
  <c r="B850" i="1"/>
  <c r="A851" i="1"/>
  <c r="B851" i="1"/>
  <c r="A852" i="1"/>
  <c r="B852" i="1"/>
  <c r="A853" i="1"/>
  <c r="B853" i="1"/>
  <c r="A854" i="1"/>
  <c r="B854" i="1"/>
  <c r="A855" i="1"/>
  <c r="A856" i="1"/>
  <c r="B856" i="1"/>
  <c r="A857" i="1"/>
  <c r="B857" i="1"/>
  <c r="A858" i="1"/>
  <c r="A859" i="1"/>
  <c r="A860" i="1"/>
  <c r="A861" i="1"/>
  <c r="B861" i="1"/>
  <c r="A862" i="1"/>
  <c r="A863" i="1"/>
  <c r="B863" i="1"/>
  <c r="A864" i="1"/>
  <c r="B864" i="1"/>
  <c r="A865" i="1"/>
  <c r="B865" i="1"/>
  <c r="A866" i="1"/>
  <c r="B866" i="1"/>
  <c r="A867" i="1"/>
  <c r="B867" i="1"/>
  <c r="A868" i="1"/>
  <c r="B868" i="1"/>
  <c r="A869" i="1"/>
  <c r="B869" i="1"/>
  <c r="A870" i="1"/>
  <c r="B870" i="1"/>
  <c r="A871" i="1"/>
  <c r="B871" i="1"/>
  <c r="A872" i="1"/>
  <c r="B872" i="1"/>
  <c r="A873" i="1"/>
  <c r="B873" i="1"/>
  <c r="A874" i="1"/>
  <c r="A875" i="1"/>
  <c r="B875" i="1"/>
  <c r="A876" i="1"/>
  <c r="B876" i="1"/>
  <c r="A877" i="1"/>
  <c r="B877" i="1"/>
  <c r="A878" i="1"/>
  <c r="B878" i="1"/>
  <c r="A879" i="1"/>
  <c r="B879" i="1"/>
  <c r="A880" i="1"/>
  <c r="B880" i="1"/>
  <c r="A881" i="1"/>
  <c r="B881" i="1"/>
  <c r="A882" i="1"/>
  <c r="B882" i="1"/>
  <c r="A883" i="1"/>
  <c r="B883" i="1"/>
  <c r="A884" i="1"/>
  <c r="B884" i="1"/>
  <c r="A885" i="1"/>
  <c r="B885" i="1"/>
  <c r="A886" i="1"/>
  <c r="B886" i="1"/>
  <c r="A887" i="1"/>
  <c r="B887" i="1"/>
  <c r="A888" i="1"/>
  <c r="B888" i="1"/>
  <c r="A889" i="1"/>
  <c r="B889" i="1"/>
  <c r="A890" i="1"/>
  <c r="A891" i="1"/>
  <c r="A892" i="1"/>
  <c r="A893" i="1"/>
  <c r="A894" i="1"/>
  <c r="A895" i="1"/>
  <c r="A896" i="1"/>
  <c r="A897" i="1"/>
  <c r="B897" i="1"/>
  <c r="A898" i="1"/>
  <c r="B898" i="1"/>
  <c r="A899" i="1"/>
  <c r="B899" i="1"/>
  <c r="A900" i="1"/>
  <c r="B900" i="1"/>
  <c r="A901" i="1"/>
  <c r="B901" i="1"/>
  <c r="A902" i="1"/>
  <c r="A903" i="1"/>
  <c r="B903" i="1"/>
  <c r="A904" i="1"/>
  <c r="B904" i="1"/>
  <c r="A905" i="1"/>
  <c r="B905" i="1"/>
  <c r="A906" i="1"/>
  <c r="A907" i="1"/>
  <c r="A908" i="1"/>
  <c r="B908" i="1"/>
  <c r="A909" i="1"/>
  <c r="B909" i="1"/>
  <c r="A910" i="1"/>
  <c r="B910" i="1"/>
  <c r="A911" i="1"/>
  <c r="A912" i="1"/>
  <c r="B912" i="1"/>
  <c r="A913" i="1"/>
  <c r="B913" i="1"/>
  <c r="A914" i="1"/>
  <c r="B914" i="1"/>
  <c r="A915" i="1"/>
  <c r="B915" i="1"/>
  <c r="A916" i="1"/>
  <c r="B916" i="1"/>
  <c r="A917" i="1"/>
  <c r="B917" i="1"/>
  <c r="A918" i="1"/>
  <c r="B918" i="1"/>
  <c r="A919" i="1"/>
  <c r="B919" i="1"/>
  <c r="A920" i="1"/>
  <c r="A921" i="1"/>
  <c r="A922" i="1"/>
  <c r="B922" i="1"/>
  <c r="A923" i="1"/>
  <c r="B923" i="1"/>
  <c r="A924" i="1"/>
  <c r="B924" i="1"/>
  <c r="A925" i="1"/>
  <c r="B925" i="1"/>
  <c r="A926" i="1"/>
  <c r="B926" i="1"/>
  <c r="A927" i="1"/>
  <c r="B927" i="1"/>
  <c r="A928" i="1"/>
  <c r="B928" i="1"/>
  <c r="A929" i="1"/>
  <c r="B929" i="1"/>
  <c r="A930" i="1"/>
  <c r="B930" i="1"/>
  <c r="A931" i="1"/>
  <c r="B931" i="1"/>
  <c r="A932" i="1"/>
  <c r="B932" i="1"/>
  <c r="A933" i="1"/>
  <c r="B933" i="1"/>
  <c r="A934" i="1"/>
  <c r="B934" i="1"/>
  <c r="A935" i="1"/>
  <c r="B935" i="1"/>
  <c r="A936" i="1"/>
  <c r="B936" i="1"/>
  <c r="A937" i="1"/>
  <c r="B937" i="1"/>
  <c r="A938" i="1"/>
  <c r="B938" i="1"/>
  <c r="A939" i="1"/>
  <c r="A940" i="1"/>
  <c r="B940" i="1"/>
  <c r="A941" i="1"/>
  <c r="B941" i="1"/>
  <c r="A942" i="1"/>
  <c r="B942" i="1"/>
  <c r="A943" i="1"/>
  <c r="A944" i="1"/>
  <c r="B944" i="1"/>
  <c r="A945" i="1"/>
  <c r="B945" i="1"/>
  <c r="A946" i="1"/>
  <c r="B946" i="1"/>
  <c r="A947" i="1"/>
  <c r="B947" i="1"/>
  <c r="A948" i="1"/>
  <c r="B948" i="1"/>
  <c r="A949" i="1"/>
  <c r="B949" i="1"/>
  <c r="A950" i="1"/>
  <c r="A951" i="1"/>
  <c r="B951" i="1"/>
  <c r="A952" i="1"/>
  <c r="B952" i="1"/>
  <c r="A953" i="1"/>
  <c r="B953" i="1"/>
  <c r="A954" i="1"/>
  <c r="B954" i="1"/>
  <c r="A955" i="1"/>
  <c r="A956" i="1"/>
  <c r="B956" i="1"/>
  <c r="A957" i="1"/>
  <c r="B957" i="1"/>
  <c r="A958" i="1"/>
  <c r="B958" i="1"/>
  <c r="A959" i="1"/>
  <c r="B959" i="1"/>
  <c r="A960" i="1"/>
  <c r="B960" i="1"/>
  <c r="A961" i="1"/>
  <c r="B961" i="1"/>
  <c r="A962" i="1"/>
  <c r="B962" i="1"/>
  <c r="A963" i="1"/>
  <c r="B963" i="1"/>
  <c r="A964" i="1"/>
  <c r="B964" i="1"/>
  <c r="A965" i="1"/>
  <c r="B965" i="1"/>
  <c r="A966" i="1"/>
  <c r="B966" i="1"/>
  <c r="A967" i="1"/>
  <c r="B967" i="1"/>
  <c r="A968" i="1"/>
  <c r="B968" i="1"/>
  <c r="A969" i="1"/>
  <c r="B969" i="1"/>
  <c r="A970" i="1"/>
  <c r="B970" i="1"/>
  <c r="A971" i="1"/>
  <c r="B971" i="1"/>
  <c r="A972" i="1"/>
  <c r="B972" i="1"/>
  <c r="A973" i="1"/>
  <c r="B973" i="1"/>
  <c r="A974" i="1"/>
  <c r="A975" i="1"/>
  <c r="B975" i="1"/>
  <c r="A976" i="1"/>
  <c r="B976" i="1"/>
  <c r="A977" i="1"/>
  <c r="A978" i="1"/>
  <c r="B978" i="1"/>
  <c r="A979" i="1"/>
  <c r="B979" i="1"/>
  <c r="A980" i="1"/>
  <c r="A981" i="1"/>
  <c r="B981" i="1"/>
  <c r="A982" i="1"/>
  <c r="A983" i="1"/>
  <c r="B983" i="1"/>
  <c r="A984" i="1"/>
  <c r="B984" i="1"/>
  <c r="A985" i="1"/>
  <c r="A986" i="1"/>
  <c r="A987" i="1"/>
  <c r="A988" i="1"/>
  <c r="A989" i="1"/>
  <c r="B989" i="1"/>
  <c r="A990" i="1"/>
  <c r="B990" i="1"/>
  <c r="A991" i="1"/>
  <c r="B991" i="1"/>
  <c r="A992" i="1"/>
  <c r="B992" i="1"/>
  <c r="A993" i="1"/>
  <c r="B993" i="1"/>
  <c r="A994" i="1"/>
  <c r="B994" i="1"/>
  <c r="A995" i="1"/>
  <c r="B995" i="1"/>
  <c r="A996" i="1"/>
  <c r="B996" i="1"/>
  <c r="A997" i="1"/>
  <c r="B997" i="1"/>
  <c r="A998" i="1"/>
  <c r="B998" i="1"/>
  <c r="A999" i="1"/>
  <c r="B999" i="1"/>
  <c r="A1000" i="1"/>
  <c r="B1000" i="1"/>
  <c r="A1001" i="1"/>
  <c r="B1001" i="1"/>
  <c r="A1002" i="1"/>
  <c r="B1002" i="1"/>
  <c r="A1003" i="1"/>
  <c r="B1003" i="1"/>
  <c r="A1004" i="1"/>
  <c r="B1004" i="1"/>
  <c r="A1005" i="1"/>
  <c r="B1005" i="1"/>
  <c r="A1006" i="1"/>
  <c r="B1006" i="1"/>
  <c r="A1007" i="1"/>
  <c r="B1007" i="1"/>
  <c r="A1008" i="1"/>
  <c r="B1008" i="1"/>
  <c r="A1009" i="1"/>
  <c r="A1010" i="1"/>
  <c r="B1010" i="1"/>
  <c r="A1011" i="1"/>
  <c r="B1011" i="1"/>
  <c r="A1012" i="1"/>
  <c r="B1012" i="1"/>
  <c r="A1013" i="1"/>
  <c r="B1013" i="1"/>
  <c r="A1014" i="1"/>
  <c r="B1014" i="1"/>
  <c r="A1015" i="1"/>
  <c r="B1015" i="1"/>
  <c r="A1016" i="1"/>
  <c r="B1016" i="1"/>
  <c r="A1017" i="1"/>
  <c r="B1017" i="1"/>
  <c r="A1018" i="1"/>
  <c r="B1018" i="1"/>
  <c r="A1019" i="1"/>
  <c r="B1019" i="1"/>
  <c r="A1020" i="1"/>
  <c r="A1021" i="1"/>
  <c r="A1022" i="1"/>
  <c r="B1022" i="1"/>
  <c r="A1023" i="1"/>
  <c r="B1023" i="1"/>
  <c r="A1024" i="1"/>
  <c r="A1025" i="1"/>
  <c r="B1025" i="1"/>
  <c r="A1026" i="1"/>
  <c r="B1026" i="1"/>
  <c r="A1027" i="1"/>
  <c r="B1027" i="1"/>
  <c r="A1028" i="1"/>
  <c r="A1029" i="1"/>
  <c r="B1029" i="1"/>
  <c r="A1030" i="1"/>
  <c r="B1030" i="1"/>
  <c r="A1031" i="1"/>
  <c r="B1031" i="1"/>
  <c r="A1032" i="1"/>
  <c r="B1032" i="1"/>
  <c r="A1033" i="1"/>
  <c r="B1033" i="1"/>
  <c r="A1034" i="1"/>
  <c r="B1034" i="1"/>
  <c r="A1035" i="1"/>
  <c r="B1035" i="1"/>
  <c r="A1036" i="1"/>
  <c r="B1036" i="1"/>
  <c r="A1037" i="1"/>
  <c r="B1037" i="1"/>
  <c r="A1038" i="1"/>
  <c r="A1039" i="1"/>
  <c r="B1039" i="1"/>
  <c r="A1040" i="1"/>
  <c r="B1040" i="1"/>
  <c r="A1041" i="1"/>
  <c r="A1042" i="1"/>
  <c r="A1043" i="1"/>
  <c r="A1044" i="1"/>
  <c r="A1045" i="1"/>
  <c r="A1046" i="1"/>
  <c r="A1047" i="1"/>
  <c r="B1047" i="1"/>
  <c r="A1048" i="1"/>
  <c r="B1048" i="1"/>
  <c r="A1049" i="1"/>
  <c r="B1049" i="1"/>
  <c r="A1050" i="1"/>
  <c r="A1051" i="1"/>
  <c r="B1051" i="1"/>
  <c r="A1052" i="1"/>
  <c r="B1052" i="1"/>
  <c r="A1053" i="1"/>
  <c r="B1053" i="1"/>
  <c r="A1054" i="1"/>
  <c r="B1054" i="1"/>
  <c r="A1055" i="1"/>
  <c r="B1055" i="1"/>
  <c r="A1056" i="1"/>
  <c r="B1056" i="1"/>
  <c r="A1057" i="1"/>
  <c r="A1058" i="1"/>
  <c r="B1058" i="1"/>
  <c r="A1059" i="1"/>
  <c r="B1059" i="1"/>
  <c r="A1060" i="1"/>
  <c r="B1060" i="1"/>
  <c r="A1061" i="1"/>
  <c r="B1061" i="1"/>
  <c r="A1062" i="1"/>
  <c r="B1062" i="1"/>
  <c r="A1063" i="1"/>
  <c r="B1063" i="1"/>
  <c r="A1064" i="1"/>
  <c r="B1064" i="1"/>
  <c r="A1065" i="1"/>
  <c r="B1065" i="1"/>
  <c r="A1066" i="1"/>
  <c r="B1066" i="1"/>
  <c r="A1067" i="1"/>
  <c r="B1067" i="1"/>
  <c r="A1068" i="1"/>
  <c r="B1068" i="1"/>
  <c r="A1069" i="1"/>
  <c r="B1069" i="1"/>
  <c r="A1070" i="1"/>
  <c r="B1070" i="1"/>
  <c r="A1071" i="1"/>
  <c r="B1071" i="1"/>
  <c r="A1072" i="1"/>
  <c r="B1072" i="1"/>
  <c r="A1073" i="1"/>
  <c r="B1073" i="1"/>
  <c r="A1074" i="1"/>
  <c r="A1075" i="1"/>
  <c r="B1075" i="1"/>
  <c r="A1076" i="1"/>
  <c r="B1076" i="1"/>
  <c r="A1077" i="1"/>
  <c r="B1077" i="1"/>
  <c r="A1078" i="1"/>
  <c r="B1078" i="1"/>
  <c r="A1079" i="1"/>
  <c r="B1079" i="1"/>
  <c r="A1080" i="1"/>
  <c r="B1080" i="1"/>
  <c r="A1081" i="1"/>
  <c r="B1081" i="1"/>
  <c r="A1082" i="1"/>
  <c r="B1082" i="1"/>
  <c r="A1083" i="1"/>
  <c r="B1083" i="1"/>
  <c r="A1084" i="1"/>
  <c r="B1084" i="1"/>
  <c r="A1085" i="1"/>
  <c r="B1085" i="1"/>
  <c r="A1086" i="1"/>
  <c r="B1086" i="1"/>
  <c r="A1087" i="1"/>
  <c r="B1087" i="1"/>
  <c r="A1088" i="1"/>
  <c r="B1088" i="1"/>
  <c r="A1089" i="1"/>
  <c r="B1089" i="1"/>
  <c r="A1090" i="1"/>
  <c r="B1090" i="1"/>
  <c r="A1091" i="1"/>
  <c r="B1091" i="1"/>
  <c r="A1092" i="1"/>
  <c r="B1092" i="1"/>
  <c r="A1093" i="1"/>
  <c r="B1093" i="1"/>
  <c r="A1094" i="1"/>
  <c r="B1094" i="1"/>
  <c r="A1095" i="1"/>
  <c r="B1095" i="1"/>
  <c r="A1096" i="1"/>
  <c r="B1096" i="1"/>
  <c r="A1097" i="1"/>
  <c r="B1097" i="1"/>
  <c r="A1098" i="1"/>
  <c r="B1098" i="1"/>
  <c r="A1099" i="1"/>
  <c r="B1099" i="1"/>
  <c r="A1100" i="1"/>
  <c r="B1100" i="1"/>
  <c r="A1101" i="1"/>
  <c r="B1101" i="1"/>
  <c r="A1102" i="1"/>
  <c r="B1102" i="1"/>
  <c r="A1103" i="1"/>
  <c r="A1104" i="1"/>
  <c r="B1104" i="1"/>
  <c r="A1105" i="1"/>
  <c r="B1105" i="1"/>
  <c r="A1106" i="1"/>
  <c r="B1106" i="1"/>
  <c r="A1107" i="1"/>
  <c r="A1108" i="1"/>
  <c r="B1108" i="1"/>
  <c r="A1109" i="1"/>
  <c r="A1110" i="1"/>
  <c r="B1110" i="1"/>
  <c r="A1111" i="1"/>
  <c r="B1111" i="1"/>
  <c r="A1112" i="1"/>
  <c r="B1112" i="1"/>
  <c r="A1113" i="1"/>
  <c r="B1113" i="1"/>
  <c r="A1114" i="1"/>
  <c r="B1114" i="1"/>
  <c r="A1115" i="1"/>
  <c r="A1116" i="1"/>
  <c r="B1116" i="1"/>
  <c r="A1117" i="1"/>
  <c r="B1117" i="1"/>
  <c r="A1118" i="1"/>
  <c r="B1118" i="1"/>
  <c r="A1119" i="1"/>
  <c r="B1119" i="1"/>
  <c r="A1120" i="1"/>
  <c r="B1120" i="1"/>
  <c r="A1121" i="1"/>
  <c r="B1121" i="1"/>
  <c r="A1122" i="1"/>
  <c r="B1122" i="1"/>
  <c r="A1123" i="1"/>
  <c r="B1123" i="1"/>
  <c r="A1124" i="1"/>
  <c r="B1124" i="1"/>
  <c r="A1125" i="1"/>
  <c r="B1125" i="1"/>
  <c r="A1126" i="1"/>
  <c r="A1127" i="1"/>
  <c r="A1128" i="1"/>
  <c r="B1128" i="1"/>
  <c r="A1129" i="1"/>
  <c r="B1129" i="1"/>
  <c r="A1130" i="1"/>
  <c r="B1130" i="1"/>
  <c r="A1131" i="1"/>
  <c r="B1131" i="1"/>
  <c r="A1132" i="1"/>
  <c r="B1132" i="1"/>
  <c r="A1133" i="1"/>
  <c r="A1134" i="1"/>
  <c r="B1134" i="1"/>
  <c r="A1135" i="1"/>
  <c r="B1135" i="1"/>
  <c r="A1136" i="1"/>
  <c r="B1136" i="1"/>
  <c r="A1137" i="1"/>
  <c r="B1137" i="1"/>
  <c r="A1138" i="1"/>
  <c r="B1138" i="1"/>
  <c r="A1139" i="1"/>
  <c r="B1139" i="1"/>
  <c r="A1140" i="1"/>
  <c r="B1140" i="1"/>
  <c r="A1141" i="1"/>
  <c r="B1141" i="1"/>
  <c r="A1142" i="1"/>
  <c r="B1142" i="1"/>
  <c r="A1143" i="1"/>
  <c r="B1143" i="1"/>
  <c r="A1144" i="1"/>
  <c r="B1144" i="1"/>
  <c r="A1145" i="1"/>
  <c r="B1145" i="1"/>
  <c r="A1146" i="1"/>
  <c r="B1146" i="1"/>
  <c r="A1147" i="1"/>
  <c r="A1148" i="1"/>
  <c r="B1148" i="1"/>
  <c r="A1149" i="1"/>
  <c r="B1149" i="1"/>
  <c r="A1150" i="1"/>
  <c r="A1151" i="1"/>
  <c r="A1152" i="1"/>
  <c r="A1153" i="1"/>
  <c r="B1153" i="1"/>
  <c r="A1154" i="1"/>
  <c r="B1154" i="1"/>
  <c r="A1155" i="1"/>
  <c r="B1155" i="1"/>
  <c r="A1156" i="1"/>
  <c r="A1157" i="1"/>
  <c r="A1158" i="1"/>
  <c r="A1159" i="1"/>
  <c r="B1159" i="1"/>
  <c r="A1160" i="1"/>
  <c r="B1160" i="1"/>
  <c r="A1161" i="1"/>
  <c r="B1161" i="1"/>
  <c r="A1162" i="1"/>
  <c r="B1162" i="1"/>
  <c r="A1163" i="1"/>
  <c r="B1163" i="1"/>
  <c r="A1164" i="1"/>
  <c r="B1164" i="1"/>
  <c r="A1165" i="1"/>
  <c r="B1165" i="1"/>
  <c r="A1166" i="1"/>
  <c r="A1167" i="1"/>
  <c r="B1167" i="1"/>
  <c r="A1168" i="1"/>
  <c r="B1168" i="1"/>
  <c r="A1169" i="1"/>
  <c r="B1169" i="1"/>
  <c r="A1170" i="1"/>
  <c r="B1170" i="1"/>
  <c r="A1171" i="1"/>
  <c r="B1171" i="1"/>
  <c r="A1172" i="1"/>
  <c r="A1173" i="1"/>
  <c r="B1173" i="1"/>
  <c r="A1174" i="1"/>
  <c r="A1175" i="1"/>
  <c r="B1175" i="1"/>
  <c r="A1176" i="1"/>
  <c r="A1177" i="1"/>
  <c r="B1177" i="1"/>
  <c r="A1178" i="1"/>
  <c r="B1178" i="1"/>
  <c r="A1179" i="1"/>
  <c r="B1179" i="1"/>
  <c r="A1180" i="1"/>
  <c r="B1180" i="1"/>
  <c r="A1181" i="1"/>
  <c r="A1182" i="1"/>
  <c r="B1182" i="1"/>
  <c r="A1183" i="1"/>
  <c r="B1183" i="1"/>
  <c r="A1184" i="1"/>
  <c r="B1184" i="1"/>
  <c r="A1185" i="1"/>
  <c r="B1185" i="1"/>
  <c r="A1186" i="1"/>
  <c r="B1186" i="1"/>
  <c r="A1187" i="1"/>
  <c r="A1188" i="1"/>
  <c r="B1188" i="1"/>
  <c r="A1189" i="1"/>
  <c r="B1189" i="1"/>
  <c r="A1190" i="1"/>
  <c r="A1191" i="1"/>
  <c r="A1192" i="1"/>
  <c r="B1192" i="1"/>
  <c r="A1193" i="1"/>
  <c r="B1193" i="1"/>
  <c r="A1194" i="1"/>
  <c r="B1194" i="1"/>
  <c r="A1195" i="1"/>
  <c r="B1195" i="1"/>
  <c r="A1196" i="1"/>
  <c r="B1196" i="1"/>
  <c r="A1197" i="1"/>
  <c r="B1197" i="1"/>
  <c r="A1198" i="1"/>
  <c r="B1198" i="1"/>
  <c r="A1199" i="1"/>
  <c r="A1200" i="1"/>
  <c r="B1200" i="1"/>
  <c r="A1201" i="1"/>
  <c r="B1201" i="1"/>
  <c r="A1202" i="1"/>
  <c r="B1202" i="1"/>
  <c r="A1203" i="1"/>
  <c r="B1203" i="1"/>
</calcChain>
</file>

<file path=xl/sharedStrings.xml><?xml version="1.0" encoding="utf-8"?>
<sst xmlns="http://schemas.openxmlformats.org/spreadsheetml/2006/main" count="284" uniqueCount="107">
  <si>
    <t>Produced:</t>
  </si>
  <si>
    <t>Mois(C):</t>
  </si>
  <si>
    <t>Annee(C):</t>
  </si>
  <si>
    <t>BUREAU(C):</t>
  </si>
  <si>
    <t>SYSCOM(C):</t>
  </si>
  <si>
    <t>FLUX(C):</t>
  </si>
  <si>
    <t>PROVDEST(C):</t>
  </si>
  <si>
    <t>PARTENAIRE(B):</t>
  </si>
  <si>
    <t>Y Axis (1)</t>
  </si>
  <si>
    <t>PRODUIT(B):</t>
  </si>
  <si>
    <t>Y Axis (2)</t>
  </si>
  <si>
    <t>INDICATORS(B):</t>
  </si>
  <si>
    <t>X Axis (1)</t>
  </si>
  <si>
    <t>=t("   POISSONS D'EAU DOUCE ET DE MER, COMESTIBLES, CONGELÉS (À L'EXCL. DES SALMONIDÉS, DES POISSONS PLATS, DES THONS, DES LISTAOS OU BONITES À VENTRE RAYÉ, DES HARENGS, DES MORUES, DES ESPADONS, DES LÉGINES, DES SARDINES, DES SARDINELLES, DES SPRATS OU E</t>
  </si>
  <si>
    <t>=t("   CRUSTACÉS, COMESTIBLES, MÊME DÉCORTIQUÉS, VIVANTS, FRAIS, RÉFRIGÉRÉS, SÉCHÉS, SALÉS OU EN SAUMURE, Y.C. LES CRUSTACÉS NON-DÉCORTIQUÉS PRÉALABLEMENT CUITS À L'EAU OU À LA VAPEUR (À L'EXCL. DES LANGOUSTES, DES HOMARDS, DES CREVETTES ET DES CRABES); F</t>
  </si>
  <si>
    <t>=t("   Racines d'arrow-root ou de salep, topinambours et racines et tubercules simil. à haute teneur en fécule ou en inuline, frais, réfrigérés, congelés ou séchés, même débités en morceaux ou agglomérés sous forme de pellets et moelle de sagoutier (à l'e</t>
  </si>
  <si>
    <t>=t("   GRAINES ET FRUITS OLÉAGINEUX, MÊME CONCASSÉS (À L'EXCL. DES FRUITS À COQUE COMESTIBLES, DES OLIVES, DES FÈVES DE SOJA, DES ARACHIDES, DU COPRAH ET DES GRAINES DE LIN, DE NAVETTE, DE COLZA, DE TOURNESOL, DE COTON, DE SÉSAME, DE MOUTARDE, D'OEILLETTE</t>
  </si>
  <si>
    <t>=t("   Graines, fruits et spores à ensemencer (à l'excl. des légumes à cosse, du maïs doux, café, thé, maté, des épices, céréales, graines et fruits oléagineux, betteraves, plantes fourragères, graines de légumes ainsi que des graines de plantes herbacées</t>
  </si>
  <si>
    <t>=t("   Graisses et huiles végétales et leurs fractions, fixes, même raffinées, mais non chimiquement modifiées (à l'excl. des huiles de soja, d'arachide, d'olive, de palme, de tournesol, de carthame, de coton, de coco [coprah], de palmiste, de babassu, de</t>
  </si>
  <si>
    <t xml:space="preserve">=t("   Mélanges ou préparations alimentaires de graisses ou huiles animales ou végétales ou de fractions comestibles de différentes graisses ou huiles (sauf graisses et huiles et leurs fractions, partiellement ou totalement hydrogénées, interestérifiées, </t>
  </si>
  <si>
    <t>=t("   Produits de la boulangerie, pâtisserie ou biscuiterie, même additionnés de cacao, hosties, cachets vides des types utilisés pour médicaments, pains à cacheter, pâtes séchées de farine, d'amidon ou de fécule en feuilles et produits simil. (sauf pain</t>
  </si>
  <si>
    <t>=t("   CIDRE, POIRÉ, HYDROMEL ET AUTRES BOISSONS FERMENTÉES; MÉLANGES DE BOISSONS FERMENTÉES ET MÉLANGES DE BOISSONS FERMENTÉES ET DE BOISSONS NON-ALCOOLIQUES, N.D.A. (À L'EXCL. DE LA BIÈRE, DES VINS DE RAISINS FRAIS, DES MOÛTS DE RAISINS AINSI QUE DES VE</t>
  </si>
  <si>
    <t>=t("   ALCOOL ÉTHYLIQUE D'UN TITRE ALCOOMÉTRIQUE VOLUMIQUE &lt; 80% VOL, NON-DÉNATURÉ; EAUX-DE-VIE ET AUTRES BOISSONS SPIRITUEUSES (À L'EXCL. DES EAUX-DE-VIE DE VIN OU DE MARC DE RAISINS, DES WHISKIES, DU RHUM ET AUTRES EAUX-DE-VIE PROVENANT DE LA DISTILLATI</t>
  </si>
  <si>
    <t>=t("   TOURTEAUX ET AUTRES RÉSIDUS SOLIDES, MÊME BROYÉS OU AGGLOMÉRÉS SOUS FORME DE PELLETS, DE L'EXTRACTION DES GRAISSES OU HUILES DE NAVETTE OU DE COLZA D'UNE TENEUR ÉLEVÉE EN ACIDE ÉRUCIQUE 'FOURNISSANT UNE HUILE FIXE DONT LA TENEUR EN ACIDE ÉRUCIQUE E</t>
  </si>
  <si>
    <t xml:space="preserve">=t("   Tourteaux et autres résidus solides, même broyés ou agglomérés sous forme de pellets, de l'extraction de graisses ou huiles végétales (à l'excl. des tourteaux et autres résidus solides de l'extraction des graisses ou huiles de soja, d'arachide, de </t>
  </si>
  <si>
    <t>=t("   Ecaussines et autres pierres calcaires de taille ou de construction, d'une densité apparente &gt;= 2,5, et albâtre, même dégrossis ou simplement débités, par sciage ou autrement, en blocs ou en plaques de forme carrée ou rectangulaire (à l'excl. des m</t>
  </si>
  <si>
    <t>=t("   Porphyre, basalte et autres pierres de taille ou de construction, même dégrossis ou simplement débités, en blocs ou en plaques de forme carrée ou rectangulaire (sauf granit, grès, pierres présentées sous la forme de granulés, d'éclats ou de poudres</t>
  </si>
  <si>
    <t>=t("   Médicaments contenant des pénicillines ou des dérivés de ces produits, à structure d'acide pénicillanique, ou des streptomycines ou des dérivés de ces produits, présentés sous forme de doses [y.c. ceux destinés à être administrés par voie percutané</t>
  </si>
  <si>
    <t>=t("   Médicaments contenant des antibiotiques, présentés sous forme de doses [y.c. ceux destinés à être administrés par voie percutanée] ou conditionnés pour la vente au détail (à l'excl. des produits contenant des pénicillines ou des dérivés de ces prod</t>
  </si>
  <si>
    <t>=t("   Médicaments constitués par des produits mélangés ou non, préparés à des fins thérapeutiques ou prophylactiques, présentés sous forme de doses [y.c. ceux destinés à être administrés par voie percutanée] ou conditionnés pour la vente au détail (à l'e</t>
  </si>
  <si>
    <t>=t("   OUATES, GAZES, BANDES ET ARTICLES ANALOGUES [PANSEMENTS, SPARADRAPS, SINAPISMES, P.EX.], IMPRÉGNÉS OU RECOUVERTS DE SUBSTANCES PHARMACEUTIQUES OU CONDITIONNÉS POUR LA VENTE AU DÉTAIL À DES FINS MÉDICALES, CHIRURGICALES, DENTAIRES OU VÉTÉRINAIRES (À</t>
  </si>
  <si>
    <t>=t("   PEINTURES ET VERNIS À BASE DE POLYMÈRES ACRYLIQUES OU VINYLIQUES, DISPERSÉS OU DISSOUS DANS UN MILIEU NON-AQUEUX, ET PRODUITS À BASE DE POLYMÈRES ACRYLIQUES OU VINYLIQUES EN SOLUTION DANS DES SOLVANTS ORGANIQUES VOLATILS, POUR AUTANT QUE LA PROPORT</t>
  </si>
  <si>
    <t xml:space="preserve">=t("   PEINTURES ET VERNIS À BASE DE POLYMÈRES SYNTHÉTIQUES OU DE POLYMÈRES NATURELS MODIFIÉS, DISPERSÉS OU DISSOUS DANS UN MILIEU NON-AQUEUX; PRODUITS VISÉS DANS LE LIBELLÉ DU N° 3901 À 3913 EN SOLUTION DANS DES SOLVANTS ORGANIQUES VOLATILS, POUR AUTANT </t>
  </si>
  <si>
    <t>=t("   Produits de beauté ou de maquillage préparés et préparations pour l'entretien ou les soins de la peau, y.c. les préparations antisolaires et les préparations pour bronzer (à l'excl. des médicaments, des produits de maquillage pour les lèvres ou les</t>
  </si>
  <si>
    <t>=t("   Savons, produits et préparations organiques tensio-actifs à usage de savon, en barres, en pains, en morceaux ou en sujets frappés, et papier, ouates, feutres et nontissés, imprégnés, enduits ou recouverts de savon ou de détergents, pour la toilette</t>
  </si>
  <si>
    <t>=t("   Savons, produits et préparations organiques tensio-actifs à usage de savon, en barres, en pains, en morceaux ou en sujets frappés, et papier, ouates, feutres et nontissés, imprégnés, enduits ou recouverts de savon ou de détergents (à l'excl. des pr</t>
  </si>
  <si>
    <t>=t("   Préparations tensio-actives, préparations pour lessives, préparations auxiliaires de lavage et préparations de nettoyage (à l'excl. des préparations conditionnées pour la vente au détail, des agents de surface organiques, des savons et des préparat</t>
  </si>
  <si>
    <t>=t("   PRÉPARATIONS CHIMIQUES POUR USAGES PHOTOGRAPHIQUES, Y.C. LES PRODUITS NON-MÉLANGÉS, SOIT DOSÉS EN VUE D'USAGES PHOTOGRAPHIQUES, SOIT CONDITIONNÉS POUR LA VENTE AU DÉTAIL POUR CES MÊMES USAGES ET PRÊTS À L'EMPLOI (À L'EXCL. DES VERNIS, COLLES, ADHÉS</t>
  </si>
  <si>
    <t>=t("   MARCHANDISES CONTENANT UNE OU PLUSIEURS DES SUBSTANCES DE L'ALDRINE [ISO], DU BINAPACRYL [ISO], DU CAMPHÉCHLORE [ISO] [TOXAPHÈNE], DU CAPTAFOL [ISO], DU CHLORDANE [ISO], DU CHLORDIMÉFORME [ISO], DU CHLOROBENZILATE [ISO], DES COMPOSÉS DU MERCURE, DU</t>
  </si>
  <si>
    <t xml:space="preserve">=t("   PLAQUES, FEUILLES, PELLICULES, BANDES ET LAMES, EN POLYMÈRES DU PROPYLÈNE NON-ALVÉOLAIRES, NON-RENFORCÉES NI STRATIFIÉES, NI MUNIES D'UN SUPPORT, NI PAREILLEMENT ASSOCIÉES À D'AUTRES MATIÈRES, NON-TRAVAILLÉES OU SIMPL. OUVRÉES EN SURFACE OU SIMPL. </t>
  </si>
  <si>
    <t>=t("   Articles de transport ou d'emballage, en matières plastiques (à l'excl. des boîtes, caisses, casiers et articles simil., des sacs, sachets, pochettes et cornets, des bonbonnes, bouteilles, flacons et articles simil., des bobines, fusettes, canettes</t>
  </si>
  <si>
    <t>=t("   Articles de ménage ou d'économie domestique et articles d'hygiène ou de toilette, en matières plastiques (à l'excl. de la vaisselle et des articles pour usages sanitaires ou hygiéniques tels que baignoires, douches, lavabos, bidets, réservoirs de c</t>
  </si>
  <si>
    <t>=t("   COURROIES DE TRANSMISSION, EN CAOUTCHOUC VULCANISÉ (À L'EXCL. DE COURROIES DE TRANSMISSION SANS FIN DE SECTION TRAPÉZOÏDALE, STRIÉES, D'UNE CIRCONFÉRENCE EXTÉRIEURE &gt; 60 CM MAIS &lt;= 240 CM ET DES COURROIES DE TRANSMISSION SANS FIN, CRANTÉES 'SYNCHRO</t>
  </si>
  <si>
    <t>=t("   Pneumatiques neufs, en caoutchouc (à l'excl. des pneumatiques à crampons, à chevrons ou simil. ainsi que des pneumatiques des types utilisés pour les véhicules et engins agricoles et forestiers, de génie civil et de manutention industrielle, pour l</t>
  </si>
  <si>
    <t>=t("   Cuirs et peaux bruts entiers de bovins [y.c. les buffles] ou d'équidés, même épilés ou refendus, d'un poids unitaire &gt; 16 kg, frais, ou salés, séchés, chaulés, picklés ou autrement conservés (à l'excl. des cuirs et peaux tannés, parcheminés ou autr</t>
  </si>
  <si>
    <t>=t("   BOIS BRUTS DE CONIFÈRES, MÊME ÉCORCÉS, DÉSAUBIÉRÉS OU ÉQUARRIS (À L'EXCL. DES BOIS TRAITÉS AVEC UNE PEINTURE, DE LA CRÉOSOTE OU D'AUTRES AGENTS DE CONSERVATION, DES BOIS SIMPL. DÉGROSSIS OU ARRONDIS POUR CANNES, PARAPLUIES, MANCHES D'OUTILS OU SIMI</t>
  </si>
  <si>
    <t xml:space="preserve">=t("   BOIS BRUTS, MÊME ÉCORCÉS, DÉSAUBIÉRÉS OU ÉQUARRIS (SAUF BOIS DE CONIFÈRES, BOIS DE CHÊNE 'QUERCUS SPP.' OU DE HÊTRE 'FAGUS SPP.', BOIS TROPICAUX VISÉS À LA NOTE 1 DE SOUS-POSITION DU PRÉSENT CHAPITRE, BOIS SIMPL. DÉGROSSIS OU ARRONDIS POUR CANNES, </t>
  </si>
  <si>
    <t>=t("   Bois tropicaux visés à la note 1 de sous-position du présent chapitre, sciés ou dédossés longitudinalement, tranchés ou déroulés, même rabotés, poncés ou collés par assemblage en bout, d'une épaisseur &gt; 6 mm (sauf virola, mahogany 'Swietenia spp.',</t>
  </si>
  <si>
    <t>=t("   Bois sciés ou dédossés longitudinalement, tranchés ou déroulés, d'une épaisseur &gt; 6 mm, même rabotés, poncés ou collés par assemblage en bout (à l'excl. des bois tropicaux visés à la note 1 de sous-position du présent chapitre ainsi que des bois de</t>
  </si>
  <si>
    <t>=t("   TIMBRES-POSTE, TIMBRES FISCAUX ET ANALOGUES, NON-OBLITÉRÉS, AYANT COURS OU DESTINÉS À AVOIR COURS DANS LE PAYS DANS LEQUEL ILS ONT,  OU AURONT, UNE VALEUR FACIALE RECONNUE; PAPIER TIMBRÉ; BILLETS DE BANQUE; CHÈQUES; TITRES D'ACTIONS OU D'OBLIGATION</t>
  </si>
  <si>
    <t xml:space="preserve">=t("   Fils simples de coton, en fibres non peignées, contenant &gt;= 85% en poids de coton, titrant &gt;= 232,56 décitex mais &lt; 714,29 décitex [&gt; 14 numéros métriques mais &lt;= 43 numéros métriques] (sauf les fils à coudre et les fils conditionnés pour la vente </t>
  </si>
  <si>
    <t>=t("   Pantalons, y.c. knickers et pantalons simil., salopettes à bretelles, culottes et shorts, de matières textiles, pour hommes ou garçonnets (autres que laine, poils fins, coton ou fibres synthétiques, autres qu'en bonneterie et sauf slips et caleçons</t>
  </si>
  <si>
    <t>=t("   Vêtements de tissus, autres qu'en bonneterie, caoutchoutés ou imprégnés, enduits ou recouverts de matière plastique ou d'autres substances, pour hommes ou garçonnets (autres que vêtements des types du n° 6201.11 à 6201.19 [manteaux, cabans, capes e</t>
  </si>
  <si>
    <t>=t("   Vêtements de tissus, autres qu'en bonneterie, caoutchoutés ou imprégnés, enduits ou recouverts de matière plastique ou d'autres substances, pour femmes ou fillettes (autres que vêtements des types du n° 6202.11 à 6202.19 [manteaux, cabans, capes et</t>
  </si>
  <si>
    <t>=t("   Couvertures de matières textiles (autres que de laine ou poils fins, coton ou fibres synthétiques et que chauffantes électriques et sauf linge de table, couvre-lits, linge de lit et les articles simil. du n° 9404 [sommiers et autres articles de lit</t>
  </si>
  <si>
    <t xml:space="preserve">=t("   Articles d'ameublement en bonneterie (sauf couvertures, linge de lit, linge de table, linge de toilette et de cuisine, vitrages, rideaux, stores d'intérieur, cantonnières et tours de lit, couvre-lits, abat-jour et les articles du n° 9404 [sommiers </t>
  </si>
  <si>
    <t>=t("   Articles de friperie composés de vêtements, accessoires du vêtement, couvertures, linge de maison et articles d'aménagement intérieur, en tous types de matières textiles, y.c. les chaussures et coiffures de tous genres, manifestement usagés et prés</t>
  </si>
  <si>
    <t>=t("   CHAUSSURES À SEMELLES EXTÉRIEURES ET DESSUS EN CAOUTCHOUC OU EN MATIÈRES PLASTIQUES (SAUF COUVRANT LA CHEVILLE OU À DESSUS EN LANIÈRES OU BRIDES FIXÉES À LA SEMELLE PAR DES TÉTONS AINSI QUE DES CHAUSSURES ÉTANCHES DU N° 6401, DES CHAUSSURES D'ORTHO</t>
  </si>
  <si>
    <t>=t("   Chaussures de sport à semelles extérieures en caoutchouc, matière plastique, cuir naturel ou reconstitué et dessus en cuir naturel (sauf chaussures de ski, chaussures pour le surf des neiges et chaussures auxquelles sont fixés des patins à glace ou</t>
  </si>
  <si>
    <t>=t("   CHAUSSURES À SEMELLES EXTÉRIEURES EN CAOUTCHOUC OU EN MATIÈRE PLASTIQUE ET À DESSUS EN AUTRES MATIÈRES QUE CAOUTCHOUC, MATIÈRE PLASTIQUE, CUIR OU MATIÈRES TEXTILES; CHAUSSURES À SEMELLES EXTÉRIEURES EN CUIR NATUREL OU RECONSTITUÉ ET À DESSUS EN D'A</t>
  </si>
  <si>
    <t>=t("   Carreaux et dalles de pavement ou de revêtement, en céramique, vernissés ou émaillés (sauf articles en farines siliceuses fossiles ou en terres siliceuses analogues, articles céramiques réfractaires, carreaux servant de dessous-de-plat, objets d'or</t>
  </si>
  <si>
    <t>=t("   Articles pour le service de la table ou de la cuisine en porcelaine (sauf objets d'ornementation; cruchons, cornues et récipients simil. de transport ou d'emballage; moulins à café et moulins à épices avec récipient en céramique et élément de trava</t>
  </si>
  <si>
    <t>=t("   PLAQUES OU FEUILLES EN GLACE [VERRE FLOTTÉ ET VERRE DOUCI ET POLI SUR UNE OU DEUX FACES], NON AUTREMENT TRAVAILLÉE (AUTRE QU'ARMÉE, COLORÉE DANS LA MASSE, OPACIFIÉE, PLAQUÉE [DOUBLÉE] OU SIMPL. DOUCIE, OU À COUCHE ABSORBANTE, RÉFLÉCHISSANTE OU NON-</t>
  </si>
  <si>
    <t>=t("   Bonbonnes, bouteilles, flacons, bocaux, pots, emballages tubulaires et autres récipients en verre pour le transport ou l'emballage commercial et bocaux à conserves en verre (sauf ampoules, bouteilles isolantes et récipients dont l'isolation est ass</t>
  </si>
  <si>
    <t>=t("   DÉCHETS ET DÉBRIS DE FER OU D'ACIER [FERRAILLES] (SAUF DÉCHETS ET DÉBRIS RADIOACTIFS ET DE PILES, DE BATTERIES DE PILES ET D'ACCUMULATEURS ÉLECTRIQUES; SCORIES, LAITIERS ET AUTRES DÉCHETS DE LA FABRICATION DU FER OU DE L'ACIER; MORCEAUX PROVENANT D</t>
  </si>
  <si>
    <t>=t("   FIL MACHINE EN FER OU ACIERS NON-ALLIÉS, ENROULÉ EN COURONNES IRRÉGULIÈRES (AUTRE QUE DE SECTION CIRCULAIRE DE DIAMÈTRE &lt; 14 MM, AUTRE QUE FIL MACHINE EN ACIERS DE DÉCOLLETAGE, OU AVEC INDENTATIONS, BOURRELETS, CREUX OU RELIEFS OBTENUS LORS DU LAMI</t>
  </si>
  <si>
    <t>=t("   Constructions et parties de constructions, en fonte, fer ou acier, n.d.a. (à l'excl. des ponts et éléments de ponts, tours et pylônes, portes et fenêtres et leurs cadres, chambranles et seuils, et à l'excl. du matériel d'échafaudage, de coffrage et</t>
  </si>
  <si>
    <t>=t("   Articles de ménage ou d'économie domestique et leurs parties, en fer ou en aciers autres qu'inoxydables, émaillés (à l'excl. de la fonte; des bidons, boîtes et récipients simil. du n° 7310; poubelles; pelles et autres articles à caractère d'outils;</t>
  </si>
  <si>
    <t>=t("   Articles de ménage ou d'économie domestique et leurs parties, en fer ou aciers autres qu'inoxydables (sauf fonte et articles émaillés; bidons, boîtes et récipients simil. du n° 7310; poubelles; pelles, tire-bouchons et autres articles à caractère d</t>
  </si>
  <si>
    <t>=t("   ARTICLES DE MÉNAGE OU D'ÉCONOMIE DOMESTIQUE ET LEURS PARTIES, EN CUIVRE (SAUF ÉPONGES, TORCHONS, GANTS ET ARTICLES SIMIL.; BIDONS, BOÎTES ET RÉCIPIENTS SIMIL. DU N° 7419; ARTICLES À CARACTÈRE D'OUTILS; COUTELLERIE, CUILLERS, FOURCHETTES, ETC.; OBJE</t>
  </si>
  <si>
    <t>=t("   Déchets et débris d'aluminium (sauf scories, mâchefer, etc., produits par la sidérurgie et contenant de l'aluminium récupérable sous forme de silicates, les déchets lingotés et autres formes brutes simil. en déchets ou débris d'aluminium fondus, et</t>
  </si>
  <si>
    <t>=t("   Articles de ménage, d'économie domestique, et leurs parties, en aluminium (sauf éponges, torchons, gants et articles simil.; bidons, boîtes et récipients simil. du n° 7612; articles ayant le caractère d'outils, cuillers, louches, fourchettes et art</t>
  </si>
  <si>
    <t>=t("   MOTEURS À PISTON ALTERNATIF OU ROTATIF, À ALLUMAGE PAR ÉTINCELLES "MOTEURS À EXPLOSION" (AUTRES QUE MOTEURS POUR AÉRONEFS, MOTEURS POUR LA PROPULSION DE BATEAUX ET AUTRES QUE LES MOTEURS À PISTON ALTERNATIF DES TYPES UTILISÉS POUR LA PROPULSION DES</t>
  </si>
  <si>
    <t>=t("   MOTEURS À PISTON, À ALLUMAGE PAR COMPRESSION "MOTEURS DIESEL OU SEMI-DIESEL", DES TYPES UTILISÉS POUR LA PROPULSION DES VÉHICULES DU CHAPITRE 87"")</t>
  </si>
  <si>
    <t>=t("   MOTEURS À PISTON, À ALLUMAGE PAR COMPRESSION "MOTEURS DIESEL OU SEMI-DIESEL" (AUTRES QUE MOTEURS DE PROPULSION POUR BATEAUX ET SAUF MOTEURS DES TYPES UTILISÉS POUR LA PROPULSION DES VÉHICULES DU CHAPITRE 87)")</t>
  </si>
  <si>
    <t>=t("   Pompes pour liquides centrifuges, à moteur (sauf pompes à dispositif mesureur ou conçues pour en comporter du n° 8413.11 ou 8413.19, pompes à carburant, à huile ou à liquide de refroidissement pour moteurs à allumage par étincelles ou par compressi</t>
  </si>
  <si>
    <t xml:space="preserve">=t("   Pompes pour liquides à moteur (sauf pompes à dispositif mesureur ou conçues pour en comporter du n° 8413.11 ou 8413.19, pompes à carburant, à huile ou à liquide de refroidissement pour moteurs à allumage par étincelles ou par compression, pompes à </t>
  </si>
  <si>
    <t>=t("   Machines, appareils et matériel pour la préparation ou la fabrication des clichés, planches, cylindres ou autres organes imprimants (sauf machines-outils à travailler par enlèvement de toute matière, à poste fixe et à stations multiples, à effectue</t>
  </si>
  <si>
    <t>=t("   IMPRIMANTES, MACHINES À COPIER ET MACHINES À TÉLÉCOPIER (À L'EXCL. DE CELLES APTES À ÊTRE CONNECTÉES À UNE MACHINE AUTOMATIQUE DE TRAITEMENT DE L'INFORMATION OU À UN RÉSEAU ET DES MACHINES ET APPAREILS SERVANT À L'IMPRESSION AU MOYEN DE PLANCHES, C</t>
  </si>
  <si>
    <t xml:space="preserve">=t("   Machines-outils pour le travail des métaux, des carbures métalliques frittés ou des cermets, sans enlèvement de matière (sauf machines à forger, à rouler, à cintrer, dresser ou planer; machines à cisailler, à poinçonner ou à gruger; presses; bancs </t>
  </si>
  <si>
    <t>=t("   Machines à dégauchir ou à raboter; machines à fraiser ou à moulurer, pour le travail du bois, des matières plastiques dures, etc. (autres que les machines pour emploi à la main et les machines pouvant effectuer différents types d'opérations d'usina</t>
  </si>
  <si>
    <t>=t("   Groupes électrogènes à moteur à piston à allumage par compression "moteurs diesel ou semi-diesel", puissance &lt;= 75 kVA")</t>
  </si>
  <si>
    <t>=t("   GROUPES ÉLECTROGÈNES À MOTEUR À PISTON À ALLUMAGE PAR COMPRESSION "MOTEUR DIESEL OU SEMI-DIESEL", PUISSANCE &gt; 375 KVA")</t>
  </si>
  <si>
    <t>=t("   GROUPES ÉLECTROGÈNES À MOTEUR À PISTON À ALLUMAGE PAR ÉTINCELLES "MOTEUR À EXPLOSION"")</t>
  </si>
  <si>
    <t>=t("   APPAREILS D'ENREGISTREMENT OU DE REPRODUCTION VIDÉOPHONIQUES, INCORPORANT ÉGALEMENT UN RÉCEPTEUR DE SIGNAUX VIDÉOPHONIQUES (AUTRES QU'À BANDES MAGNÉTIQUES ET À L'EXCL. DES CAMÉSCOPES) [01/01/1988-31/12/1991: APPAREILS D'ENREGISTREMENT OU DE REPRODU</t>
  </si>
  <si>
    <t>=t("   PARTIES RECONNAISSABLES COMME ÉTANT EXCLUSIVEMENT OU PRINCIPALEMENT DESTINÉES AUX APPAREILS ÉMETTEURS-RÉCEPTEURS POUR LA RADIODIFFUSION OU LA TÉLÉVISION, AUX CAMÉRAS DE TÉLÉVISION, AUX APPAREILS PHOTOGRAPHIQUES NUMÉRIQUES, AUX CAMÉSCOPES ET AUX APP</t>
  </si>
  <si>
    <t>=t("   VÉHICULES POUR LE TRANSPORT DE &gt;= 10 PERSONNES, CHAUFFEUR INCLUS, AUTRES QU'À MOTEUR À PISTON À ALLUMAGE PAR COMPRESSION "MOTEUR DIESEL OU SEMI-DIESEL"")</t>
  </si>
  <si>
    <t>=t("   VOITURES DE TOURISME ET AUTRES VÉHICULES PRINCIPALEMENT CONÇUS POUR LE TRANSPORT DE PERSONNES, Y.C. LES VOITURES DU TYPE 'BREAK' ET LES VOITURES DE COURSE, À MOTEUR À PISTON ALTERNATIF À ALLUMAGE PAR ÉTINCELLES "MOTEUR À EXPLOSION", CYLINDRÉE &gt; 1.0</t>
  </si>
  <si>
    <t>=t("   VOITURES DE TOURISME ET AUTRES VÉHICULES PRINCIPALEMENT CONÇUS POUR LE TRANSPORT DE PERSONNES, Y.C. LES VOITURES DU TYPE 'BREAK' ET LES VOITURES DE COURSE, À MOTEUR À PISTON ALTERNATIF À ALLUMAGE PAR ÉTINCELLES "MOTEUR À EXPLOSION", CYLINDRÉE &gt; 1.5</t>
  </si>
  <si>
    <t>=t("   VOITURES DE TOURISME ET AUTRES VÉHICULES PRINCIPALEMENT CONÇUS POUR LE TRANSPORT DE PERSONNES, Y.C. LES VOITURES DU TYPE 'BREAK' ET LES VOITURES DE COURSE, À MOTEUR À PISTON ALTERNATIF À ALLUMAGE PAR ÉTINCELLES "MOTEUR À EXPLOSION", CYLINDRÉE &gt; 3.0</t>
  </si>
  <si>
    <t>=t("   VOITURES DE TOURISME ET AUTRES VÉHICULES PRINCIPALEMENT CONÇUS POUR LE TRANSPORT DE PERSONNES, Y.C. LES VOITURES DU TYPE 'BREAK' ET LES VOITURES DE COURSE, À MOTEUR À PISTON À ALLUMAGE PAR COMPRESSION "MOTEUR DIESEL OU SEMI-DIESEL", CYLINDRÉE &lt;= 1.</t>
  </si>
  <si>
    <t>=t("   VOITURES DE TOURISME ET AUTRES VÉHICULES PRINCIPALEMENT CONÇUS POUR LE TRANSPORT DE PERSONNES, Y.C. LES VOITURES DU TYPE 'BREAK' ET LES VOITURES DE COURSE, À MOTEUR À PISTON À ALLUMAGE PAR COMPRESSION "MOTEUR DIESEL OU SEMI-DIESEL", CYLINDRÉE &gt; 1.5</t>
  </si>
  <si>
    <t>=t("   VOITURES DE TOURISME ET AUTRES VÉHICULES PRINCIPALEMENT CONÇUS POUR LE TRANSPORT DE PERSONNES, Y.C. LES VOITURES DU TYPE 'BREAK' ET LES VOITURES DE COURSE, À MOTEUR À PISTON À ALLUMAGE PAR COMPRESSION "MOTEUR DIESEL OU SEMI-DIESEL", CYLINDRÉE &gt; 250</t>
  </si>
  <si>
    <t>=t("   VÉHICULES POUR LE TRANSPORT DE MARCHANDISES, À MOTEUR À PISTON À ALLUMAGE PAR COMPRESSION "MOTEUR DIESEL OU SEMI-DIESEL", POIDS EN CHARGE MAXIMAL &lt;= 5 T (SAUF TOMBEREAUX AUTOMOTEURS DU N° 8704 ET VÉHICULES AUTOMOBILES À USAGES SPÉCIAUX DU N° 8705)"</t>
  </si>
  <si>
    <t>=t("   VÉHICULES POUR LE TRANSPORT DE MARCHANDISES, À MOTEUR À PISTON À ALLUMAGE PAR COMPRESSION "MOTEUR DIESEL OU SEMI-DIESEL", POIDS EN CHARGE MAXIMAL &gt; 5 T MAIS &lt;= 20 T (SAUF TOMBEREAUX AUTOMOTEURS DU N° 8704.10, VÉHICULES AUTOMOBILES À USAGES SPÉCIAUX</t>
  </si>
  <si>
    <t>=t("   VÉHICULES POUR LE TRANSPORT DE MARCHANDISES, À MOTEUR À PISTON À ALLUMAGE PAR COMPRESSION "MOTEUR DIESEL OU SEMI-DIESEL", POIDS EN CHARGE MAXIMAL &gt; 20 T (SAUF TOMBEREAUX AUTOMOTEURS DU N° 8704.10, VÉHICULES AUTOMOBILES À USAGES SPÉCIAUX DU N° 8705)</t>
  </si>
  <si>
    <t>=t("   VÉHICULES POUR LE TRANSPORT DE MARCHANDISES, À MOTEUR À PISTON À ALLUMAGE PAR ÉTINCELLES "MOTEUR À EXPLOSION", POIDS EN CHARGE MAXIMAL &lt;= 5 T (SAUF TOMBEREAUX AUTOMOTEURS DU N° 8704.10, VÉHICULES AUTOMOBILES À USAGES SPÉCIAUX DU N° 8705)")</t>
  </si>
  <si>
    <t>=t("   Véhicules automobiles à usages spéciaux (autres que ceux principalement conçus pour le transport de personnes ou de marchandises et sauf camions-béonnières, voitures de lutte contre l'incendie, derricks automobiles pour le sondage ou le forage, cam</t>
  </si>
  <si>
    <t>=t("   PARTIES ET ACCESSOIRES DE CARROSSERIE DE TRACTEURS, VÉHICULES POUR LE TRANSPORT DE &gt;= 10 PERSONNES, CHAUFFEUR INCLUS, VOITURES DE TOURISME, VÉHICULES POUR LE TRANSPORT DE MARCHANDISES ET VÉHICULES À USAGES SPÉCIAUX (SAUF PARE-CHOCS ET LEURS PARTIES</t>
  </si>
  <si>
    <t>=t("   Instruments et appareils de géodésie, de topographie, d'arpentage, de nivellement, d'hydrographie, de météorologie, d'hydrologie, de géophysique ou d'océanographie (à l'excl. des boussoles, des télémètres, des théodolites, des tachéomètres, des niv</t>
  </si>
  <si>
    <t>=t("   Dispositifs générateurs de rayons X, autres que tubes à rayons X, générateurs de tension, pupitres de commande, écrans, tables, fauteuils et supports simil. d'examen ou de traitement, ainsi que tous les parties et accessoires des appareils du n° 90</t>
  </si>
  <si>
    <t>=t("   Articles de literie et simil., garnis de plumes, rembourrés, garnis de matières de toutes sortes, y.c. caoutchouc alvéolaire ou matières plastiques alvéolaires (sauf sommiers, matelas, sacs de couchage, matelas à eau, matelas pneumatiques et oreill</t>
  </si>
  <si>
    <t>=t("   JEUX AVEC ÉCRAN, FLIPPERS ET AUTRES AUTRES JEUX FONCTIONNANT PAR L'INTRODUCTION D'UNE PIÈCE DE MONNAIE, D'UN BILLET DE BANQUE, D'UNE CARTE BANCAIRE, D'UN JETON OU PAR D'AUTRES MOYENS DE PAIEMENT (À L'EXCL. DES JEUX DE QUILLES AUTOMATIQUES [P.EX. BO</t>
  </si>
  <si>
    <t>Source: Copyright © 1958 - 2003 European Community, Eurostat. All Rights Reserved. Comext: k0000039.txt  Extracted: 07/10/2014</t>
  </si>
  <si>
    <t>tant un intérêt historique, archéologique, paléontologique, ethnographique ou numismatique")</t>
  </si>
  <si>
    <t>CL. DES JEUX DE QUILLES AUTOMATIQUES [P.EX. BOWLINGS]")</t>
  </si>
  <si>
    <t>Table generation of Extraction from Plan "k0000037,mtx"</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</si>
</sst>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16" fillId="0" borderId="0" xfId="0" applyFont="1"/>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8"/>
  <sheetViews>
    <sheetView tabSelected="1" topLeftCell="A10" workbookViewId="0">
      <selection activeCell="C10" sqref="C1:D1048576"/>
    </sheetView>
  </sheetViews>
  <sheetFormatPr baseColWidth="10" defaultRowHeight="15" x14ac:dyDescent="0.25"/>
  <sheetData>
    <row r="1" spans="1:4" x14ac:dyDescent="0.25">
      <c r="C1" t="s">
        <v>106</v>
      </c>
    </row>
    <row r="3" spans="1:4" x14ac:dyDescent="0.25">
      <c r="A3" t="s">
        <v>0</v>
      </c>
      <c r="B3" t="str">
        <f>T("07/10/2014")</f>
        <v>07/10/2014</v>
      </c>
    </row>
    <row r="4" spans="1:4" x14ac:dyDescent="0.25">
      <c r="A4" t="s">
        <v>1</v>
      </c>
      <c r="B4" t="str">
        <f>T("00")</f>
        <v>00</v>
      </c>
    </row>
    <row r="5" spans="1:4" x14ac:dyDescent="0.25">
      <c r="A5" t="s">
        <v>2</v>
      </c>
      <c r="B5" t="str">
        <f>T("2013")</f>
        <v>2013</v>
      </c>
    </row>
    <row r="6" spans="1:4" x14ac:dyDescent="0.25">
      <c r="A6" t="s">
        <v>3</v>
      </c>
      <c r="B6" t="str">
        <f>T("ZZ_7Bureaux")</f>
        <v>ZZ_7Bureaux</v>
      </c>
    </row>
    <row r="7" spans="1:4" x14ac:dyDescent="0.25">
      <c r="A7" t="s">
        <v>4</v>
      </c>
      <c r="B7" t="str">
        <f>T("CS")</f>
        <v>CS</v>
      </c>
    </row>
    <row r="8" spans="1:4" x14ac:dyDescent="0.25">
      <c r="A8" t="s">
        <v>5</v>
      </c>
      <c r="B8" t="str">
        <f>T("ET")</f>
        <v>ET</v>
      </c>
    </row>
    <row r="9" spans="1:4" x14ac:dyDescent="0.25">
      <c r="A9" t="s">
        <v>6</v>
      </c>
      <c r="B9" t="str">
        <f>T("ZZZ_Monde")</f>
        <v>ZZZ_Monde</v>
      </c>
    </row>
    <row r="10" spans="1:4" x14ac:dyDescent="0.25">
      <c r="A10" t="s">
        <v>7</v>
      </c>
      <c r="B10" t="s">
        <v>8</v>
      </c>
    </row>
    <row r="11" spans="1:4" x14ac:dyDescent="0.25">
      <c r="A11" t="s">
        <v>9</v>
      </c>
      <c r="B11" t="s">
        <v>10</v>
      </c>
    </row>
    <row r="12" spans="1:4" x14ac:dyDescent="0.25">
      <c r="A12" t="s">
        <v>11</v>
      </c>
      <c r="B12" t="s">
        <v>12</v>
      </c>
    </row>
    <row r="14" spans="1:4" x14ac:dyDescent="0.25">
      <c r="C14" t="str">
        <f>T("Valstat")</f>
        <v>Valstat</v>
      </c>
      <c r="D14" t="str">
        <f>T("Poidsnet")</f>
        <v>Poidsnet</v>
      </c>
    </row>
    <row r="15" spans="1:4" x14ac:dyDescent="0.25">
      <c r="C15" t="str">
        <f>T("Valstat")</f>
        <v>Valstat</v>
      </c>
      <c r="D15" t="str">
        <f>T("Poidsnet")</f>
        <v>Poidsnet</v>
      </c>
    </row>
    <row r="16" spans="1:4" x14ac:dyDescent="0.25">
      <c r="A16" t="str">
        <f>T("AE")</f>
        <v>AE</v>
      </c>
      <c r="B16" t="str">
        <f>T("Emirats Arabes Unis")</f>
        <v>Emirats Arabes Unis</v>
      </c>
    </row>
    <row r="17" spans="1:4" x14ac:dyDescent="0.25">
      <c r="A17" t="str">
        <f>T("   ZZ_Total_Produit_SH6")</f>
        <v xml:space="preserve">   ZZ_Total_Produit_SH6</v>
      </c>
      <c r="B17" t="str">
        <f>T("   ZZ_Total_Produit_SH6")</f>
        <v xml:space="preserve">   ZZ_Total_Produit_SH6</v>
      </c>
      <c r="C17">
        <v>206969270</v>
      </c>
      <c r="D17">
        <v>689817</v>
      </c>
    </row>
    <row r="18" spans="1:4" x14ac:dyDescent="0.25">
      <c r="A18" t="str">
        <f>T("   080131")</f>
        <v xml:space="preserve">   080131</v>
      </c>
      <c r="B18" t="str">
        <f>T("   Noix de cajou, fraîches ou sèches, en coques")</f>
        <v xml:space="preserve">   Noix de cajou, fraîches ou sèches, en coques</v>
      </c>
      <c r="C18">
        <v>50660783</v>
      </c>
      <c r="D18">
        <v>106228</v>
      </c>
    </row>
    <row r="19" spans="1:4" x14ac:dyDescent="0.25">
      <c r="A19" t="str">
        <f>T("   330710")</f>
        <v xml:space="preserve">   330710</v>
      </c>
      <c r="B19" t="str">
        <f>T("   Préparations pour le prérasage, le rasage ou l'après-rasage")</f>
        <v xml:space="preserve">   Préparations pour le prérasage, le rasage ou l'après-rasage</v>
      </c>
      <c r="C19">
        <v>102168259</v>
      </c>
      <c r="D19">
        <v>14440</v>
      </c>
    </row>
    <row r="20" spans="1:4" x14ac:dyDescent="0.25">
      <c r="A20" t="str">
        <f>T("   401110")</f>
        <v xml:space="preserve">   401110</v>
      </c>
      <c r="B20"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20">
        <v>5500000</v>
      </c>
      <c r="D20">
        <v>22160</v>
      </c>
    </row>
    <row r="21" spans="1:4" x14ac:dyDescent="0.25">
      <c r="A21" t="str">
        <f>T("   410150")</f>
        <v xml:space="preserve">   410150</v>
      </c>
      <c r="B21" t="s">
        <v>44</v>
      </c>
      <c r="C21">
        <v>5985000</v>
      </c>
      <c r="D21">
        <v>30000</v>
      </c>
    </row>
    <row r="22" spans="1:4" x14ac:dyDescent="0.25">
      <c r="A22" t="str">
        <f>T("   560110")</f>
        <v xml:space="preserve">   560110</v>
      </c>
      <c r="B22" t="str">
        <f>T("   Serviettes et tampons hygiéniques, couches pour bébés et articles hygiéniques simil., en ouates")</f>
        <v xml:space="preserve">   Serviettes et tampons hygiéniques, couches pour bébés et articles hygiéniques simil., en ouates</v>
      </c>
      <c r="C22">
        <v>7425000</v>
      </c>
      <c r="D22">
        <v>63700</v>
      </c>
    </row>
    <row r="23" spans="1:4" x14ac:dyDescent="0.25">
      <c r="A23" t="str">
        <f>T("   720429")</f>
        <v xml:space="preserve">   720429</v>
      </c>
      <c r="B23"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23">
        <v>22250000</v>
      </c>
      <c r="D23">
        <v>445000</v>
      </c>
    </row>
    <row r="24" spans="1:4" x14ac:dyDescent="0.25">
      <c r="A24" t="str">
        <f>T("   870322")</f>
        <v xml:space="preserve">   870322</v>
      </c>
      <c r="B24" t="s">
        <v>87</v>
      </c>
      <c r="C24">
        <v>3000000</v>
      </c>
      <c r="D24">
        <v>5489</v>
      </c>
    </row>
    <row r="25" spans="1:4" x14ac:dyDescent="0.25">
      <c r="A25" t="str">
        <f>T("   870324")</f>
        <v xml:space="preserve">   870324</v>
      </c>
      <c r="B25" t="s">
        <v>89</v>
      </c>
      <c r="C25">
        <v>9980228</v>
      </c>
      <c r="D25">
        <v>2800</v>
      </c>
    </row>
    <row r="26" spans="1:4" x14ac:dyDescent="0.25">
      <c r="A26" t="str">
        <f>T("AM")</f>
        <v>AM</v>
      </c>
      <c r="B26" t="str">
        <f>T("Arménie")</f>
        <v>Arménie</v>
      </c>
    </row>
    <row r="27" spans="1:4" x14ac:dyDescent="0.25">
      <c r="A27" t="str">
        <f>T("   ZZ_Total_Produit_SH6")</f>
        <v xml:space="preserve">   ZZ_Total_Produit_SH6</v>
      </c>
      <c r="B27" t="str">
        <f>T("   ZZ_Total_Produit_SH6")</f>
        <v xml:space="preserve">   ZZ_Total_Produit_SH6</v>
      </c>
      <c r="C27">
        <v>2500000</v>
      </c>
      <c r="D27">
        <v>3010</v>
      </c>
    </row>
    <row r="28" spans="1:4" x14ac:dyDescent="0.25">
      <c r="A28" t="str">
        <f>T("   620590")</f>
        <v xml:space="preserve">   620590</v>
      </c>
      <c r="B2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8">
        <v>700000</v>
      </c>
      <c r="D28">
        <v>500</v>
      </c>
    </row>
    <row r="29" spans="1:4" x14ac:dyDescent="0.25">
      <c r="A29" t="str">
        <f>T("   732394")</f>
        <v xml:space="preserve">   732394</v>
      </c>
      <c r="B29" t="s">
        <v>67</v>
      </c>
      <c r="C29">
        <v>300000</v>
      </c>
      <c r="D29">
        <v>300</v>
      </c>
    </row>
    <row r="30" spans="1:4" x14ac:dyDescent="0.25">
      <c r="A30" t="str">
        <f>T("   842549")</f>
        <v xml:space="preserve">   842549</v>
      </c>
      <c r="B30" t="str">
        <f>T("   Crics et vérins, non hydrauliques")</f>
        <v xml:space="preserve">   Crics et vérins, non hydrauliques</v>
      </c>
      <c r="C30">
        <v>500000</v>
      </c>
      <c r="D30">
        <v>1010</v>
      </c>
    </row>
    <row r="31" spans="1:4" x14ac:dyDescent="0.25">
      <c r="A31" t="str">
        <f>T("   940350")</f>
        <v xml:space="preserve">   940350</v>
      </c>
      <c r="B31" t="str">
        <f>T("   Meubles pour chambres à coucher, en bois (sauf sièges)")</f>
        <v xml:space="preserve">   Meubles pour chambres à coucher, en bois (sauf sièges)</v>
      </c>
      <c r="C31">
        <v>1000000</v>
      </c>
      <c r="D31">
        <v>1200</v>
      </c>
    </row>
    <row r="32" spans="1:4" x14ac:dyDescent="0.25">
      <c r="A32" t="str">
        <f>T("AT")</f>
        <v>AT</v>
      </c>
      <c r="B32" t="str">
        <f>T("Autriche")</f>
        <v>Autriche</v>
      </c>
    </row>
    <row r="33" spans="1:4" x14ac:dyDescent="0.25">
      <c r="A33" t="str">
        <f>T("   ZZ_Total_Produit_SH6")</f>
        <v xml:space="preserve">   ZZ_Total_Produit_SH6</v>
      </c>
      <c r="B33" t="str">
        <f>T("   ZZ_Total_Produit_SH6")</f>
        <v xml:space="preserve">   ZZ_Total_Produit_SH6</v>
      </c>
      <c r="C33">
        <v>27861808</v>
      </c>
      <c r="D33">
        <v>5694</v>
      </c>
    </row>
    <row r="34" spans="1:4" x14ac:dyDescent="0.25">
      <c r="A34" t="str">
        <f>T("   731290")</f>
        <v xml:space="preserve">   731290</v>
      </c>
      <c r="B34" t="str">
        <f>T("   Tresses, élingues et simil., en fer ou en acier (sauf produits isolés pour l'électricité)")</f>
        <v xml:space="preserve">   Tresses, élingues et simil., en fer ou en acier (sauf produits isolés pour l'électricité)</v>
      </c>
      <c r="C34">
        <v>3740907</v>
      </c>
      <c r="D34">
        <v>269</v>
      </c>
    </row>
    <row r="35" spans="1:4" x14ac:dyDescent="0.25">
      <c r="A35" t="str">
        <f>T("   820510")</f>
        <v xml:space="preserve">   820510</v>
      </c>
      <c r="B35" t="str">
        <f>T("   Outils de perçage, de filetage ou de taraudage, maniés à la main")</f>
        <v xml:space="preserve">   Outils de perçage, de filetage ou de taraudage, maniés à la main</v>
      </c>
      <c r="C35">
        <v>21089901</v>
      </c>
      <c r="D35">
        <v>340</v>
      </c>
    </row>
    <row r="36" spans="1:4" x14ac:dyDescent="0.25">
      <c r="A36" t="str">
        <f>T("   843139")</f>
        <v xml:space="preserve">   843139</v>
      </c>
      <c r="B36" t="str">
        <f>T("   Parties de machines et appareils du n° 8428, n.d.a.")</f>
        <v xml:space="preserve">   Parties de machines et appareils du n° 8428, n.d.a.</v>
      </c>
      <c r="C36">
        <v>2380000</v>
      </c>
      <c r="D36">
        <v>3085</v>
      </c>
    </row>
    <row r="37" spans="1:4" x14ac:dyDescent="0.25">
      <c r="A37" t="str">
        <f>T("   843149")</f>
        <v xml:space="preserve">   843149</v>
      </c>
      <c r="B37" t="str">
        <f>T("   Parties de machines et appareils du n° 8426, 8429 ou 8430, n.d.a.")</f>
        <v xml:space="preserve">   Parties de machines et appareils du n° 8426, 8429 ou 8430, n.d.a.</v>
      </c>
      <c r="C37">
        <v>651000</v>
      </c>
      <c r="D37">
        <v>2000</v>
      </c>
    </row>
    <row r="38" spans="1:4" x14ac:dyDescent="0.25">
      <c r="A38" t="str">
        <f>T("BD")</f>
        <v>BD</v>
      </c>
      <c r="B38" t="str">
        <f>T("Bangladesh")</f>
        <v>Bangladesh</v>
      </c>
    </row>
    <row r="39" spans="1:4" x14ac:dyDescent="0.25">
      <c r="A39" t="str">
        <f>T("   ZZ_Total_Produit_SH6")</f>
        <v xml:space="preserve">   ZZ_Total_Produit_SH6</v>
      </c>
      <c r="B39" t="str">
        <f>T("   ZZ_Total_Produit_SH6")</f>
        <v xml:space="preserve">   ZZ_Total_Produit_SH6</v>
      </c>
      <c r="C39">
        <v>8498284121</v>
      </c>
      <c r="D39">
        <v>9633862</v>
      </c>
    </row>
    <row r="40" spans="1:4" x14ac:dyDescent="0.25">
      <c r="A40" t="str">
        <f>T("   410510")</f>
        <v xml:space="preserve">   410510</v>
      </c>
      <c r="B40" t="str">
        <f>T("   PEAUX D'OVINS, À L'ÉTAT HUMIDE [Y.C. 'WET-BLUE'], TANNÉES, ÉPILÉES, MÊME REFENDUES (SAUF AUTREMENT PRÉPARÉES AINSI QUE SIMPL. PRÉTANNÉES)")</f>
        <v xml:space="preserve">   PEAUX D'OVINS, À L'ÉTAT HUMIDE [Y.C. 'WET-BLUE'], TANNÉES, ÉPILÉES, MÊME REFENDUES (SAUF AUTREMENT PRÉPARÉES AINSI QUE SIMPL. PRÉTANNÉES)</v>
      </c>
      <c r="C40">
        <v>24731000</v>
      </c>
      <c r="D40">
        <v>70244</v>
      </c>
    </row>
    <row r="41" spans="1:4" x14ac:dyDescent="0.25">
      <c r="A41" t="str">
        <f>T("   410621")</f>
        <v xml:space="preserve">   410621</v>
      </c>
      <c r="B41" t="str">
        <f>T("   CUIRS ET PEAUX DE CAPRINS, À L'ÉTAT HUMIDE [Y.C. 'WET-BLUE'], TANNÉS, ÉPILÉS, MÊME REFENDUS (SAUF AUTREMENT PRÉPARÉS AINSI QUE SIMPL. PRÉTANNÉS)")</f>
        <v xml:space="preserve">   CUIRS ET PEAUX DE CAPRINS, À L'ÉTAT HUMIDE [Y.C. 'WET-BLUE'], TANNÉS, ÉPILÉS, MÊME REFENDUS (SAUF AUTREMENT PRÉPARÉS AINSI QUE SIMPL. PRÉTANNÉS)</v>
      </c>
      <c r="C41">
        <v>12365500</v>
      </c>
      <c r="D41">
        <v>35125</v>
      </c>
    </row>
    <row r="42" spans="1:4" x14ac:dyDescent="0.25">
      <c r="A42" t="str">
        <f>T("   520100")</f>
        <v xml:space="preserve">   520100</v>
      </c>
      <c r="B42" t="str">
        <f>T("   COTON, NON-CARDÉ NI PEIGNÉ")</f>
        <v xml:space="preserve">   COTON, NON-CARDÉ NI PEIGNÉ</v>
      </c>
      <c r="C42">
        <v>8459687621</v>
      </c>
      <c r="D42">
        <v>9526493</v>
      </c>
    </row>
    <row r="43" spans="1:4" x14ac:dyDescent="0.25">
      <c r="A43" t="str">
        <f>T("   620590")</f>
        <v xml:space="preserve">   620590</v>
      </c>
      <c r="B4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43">
        <v>450000</v>
      </c>
      <c r="D43">
        <v>500</v>
      </c>
    </row>
    <row r="44" spans="1:4" x14ac:dyDescent="0.25">
      <c r="A44" t="str">
        <f>T("   732394")</f>
        <v xml:space="preserve">   732394</v>
      </c>
      <c r="B44" t="s">
        <v>67</v>
      </c>
      <c r="C44">
        <v>300000</v>
      </c>
      <c r="D44">
        <v>300</v>
      </c>
    </row>
    <row r="45" spans="1:4" x14ac:dyDescent="0.25">
      <c r="A45" t="str">
        <f>T("   940350")</f>
        <v xml:space="preserve">   940350</v>
      </c>
      <c r="B45" t="str">
        <f>T("   Meubles pour chambres à coucher, en bois (sauf sièges)")</f>
        <v xml:space="preserve">   Meubles pour chambres à coucher, en bois (sauf sièges)</v>
      </c>
      <c r="C45">
        <v>750000</v>
      </c>
      <c r="D45">
        <v>1200</v>
      </c>
    </row>
    <row r="46" spans="1:4" x14ac:dyDescent="0.25">
      <c r="A46" t="str">
        <f>T("BE")</f>
        <v>BE</v>
      </c>
      <c r="B46" t="str">
        <f>T("Belgique")</f>
        <v>Belgique</v>
      </c>
    </row>
    <row r="47" spans="1:4" x14ac:dyDescent="0.25">
      <c r="A47" t="str">
        <f>T("   ZZ_Total_Produit_SH6")</f>
        <v xml:space="preserve">   ZZ_Total_Produit_SH6</v>
      </c>
      <c r="B47" t="str">
        <f>T("   ZZ_Total_Produit_SH6")</f>
        <v xml:space="preserve">   ZZ_Total_Produit_SH6</v>
      </c>
      <c r="C47">
        <v>340142545</v>
      </c>
      <c r="D47">
        <v>733002</v>
      </c>
    </row>
    <row r="48" spans="1:4" x14ac:dyDescent="0.25">
      <c r="A48" t="str">
        <f>T("   080430")</f>
        <v xml:space="preserve">   080430</v>
      </c>
      <c r="B48" t="str">
        <f>T("   Ananas, frais ou secs")</f>
        <v xml:space="preserve">   Ananas, frais ou secs</v>
      </c>
      <c r="C48">
        <v>7373176</v>
      </c>
      <c r="D48">
        <v>84890</v>
      </c>
    </row>
    <row r="49" spans="1:4" x14ac:dyDescent="0.25">
      <c r="A49" t="str">
        <f>T("   151590")</f>
        <v xml:space="preserve">   151590</v>
      </c>
      <c r="B49" t="s">
        <v>18</v>
      </c>
      <c r="C49">
        <v>200000</v>
      </c>
      <c r="D49">
        <v>1020</v>
      </c>
    </row>
    <row r="50" spans="1:4" x14ac:dyDescent="0.25">
      <c r="A50" t="str">
        <f>T("   240220")</f>
        <v xml:space="preserve">   240220</v>
      </c>
      <c r="B50" t="str">
        <f>T("   Cigarettes contenant du tabac")</f>
        <v xml:space="preserve">   Cigarettes contenant du tabac</v>
      </c>
      <c r="C50">
        <v>20000000</v>
      </c>
      <c r="D50">
        <v>30278</v>
      </c>
    </row>
    <row r="51" spans="1:4" x14ac:dyDescent="0.25">
      <c r="A51" t="str">
        <f>T("   240290")</f>
        <v xml:space="preserve">   240290</v>
      </c>
      <c r="B51" t="str">
        <f>T("   Cigares, cigarillos et cigarettes, en succédanés du tabac")</f>
        <v xml:space="preserve">   Cigares, cigarillos et cigarettes, en succédanés du tabac</v>
      </c>
      <c r="C51">
        <v>12000000</v>
      </c>
      <c r="D51">
        <v>64125</v>
      </c>
    </row>
    <row r="52" spans="1:4" x14ac:dyDescent="0.25">
      <c r="A52" t="str">
        <f>T("   490199")</f>
        <v xml:space="preserve">   490199</v>
      </c>
      <c r="B5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52">
        <v>150000</v>
      </c>
      <c r="D52">
        <v>100</v>
      </c>
    </row>
    <row r="53" spans="1:4" x14ac:dyDescent="0.25">
      <c r="A53" t="str">
        <f>T("   520100")</f>
        <v xml:space="preserve">   520100</v>
      </c>
      <c r="B53" t="str">
        <f>T("   COTON, NON-CARDÉ NI PEIGNÉ")</f>
        <v xml:space="preserve">   COTON, NON-CARDÉ NI PEIGNÉ</v>
      </c>
      <c r="C53">
        <v>131903783</v>
      </c>
      <c r="D53">
        <v>199854</v>
      </c>
    </row>
    <row r="54" spans="1:4" x14ac:dyDescent="0.25">
      <c r="A54" t="str">
        <f>T("   620520")</f>
        <v xml:space="preserve">   620520</v>
      </c>
      <c r="B54"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54">
        <v>1750000</v>
      </c>
      <c r="D54">
        <v>2500</v>
      </c>
    </row>
    <row r="55" spans="1:4" x14ac:dyDescent="0.25">
      <c r="A55" t="str">
        <f>T("   620590")</f>
        <v xml:space="preserve">   620590</v>
      </c>
      <c r="B5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55">
        <v>1550000</v>
      </c>
      <c r="D55">
        <v>1650</v>
      </c>
    </row>
    <row r="56" spans="1:4" x14ac:dyDescent="0.25">
      <c r="A56" t="str">
        <f>T("   621040")</f>
        <v xml:space="preserve">   621040</v>
      </c>
      <c r="B56" t="s">
        <v>52</v>
      </c>
      <c r="C56">
        <v>500000</v>
      </c>
      <c r="D56">
        <v>474</v>
      </c>
    </row>
    <row r="57" spans="1:4" x14ac:dyDescent="0.25">
      <c r="A57" t="str">
        <f>T("   621050")</f>
        <v xml:space="preserve">   621050</v>
      </c>
      <c r="B57" t="s">
        <v>53</v>
      </c>
      <c r="C57">
        <v>5050000</v>
      </c>
      <c r="D57">
        <v>4951</v>
      </c>
    </row>
    <row r="58" spans="1:4" x14ac:dyDescent="0.25">
      <c r="A58" t="str">
        <f>T("   720429")</f>
        <v xml:space="preserve">   720429</v>
      </c>
      <c r="B58"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58">
        <v>975000</v>
      </c>
      <c r="D58">
        <v>11076</v>
      </c>
    </row>
    <row r="59" spans="1:4" x14ac:dyDescent="0.25">
      <c r="A59" t="str">
        <f>T("   720430")</f>
        <v xml:space="preserve">   720430</v>
      </c>
      <c r="B59"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59">
        <v>500000</v>
      </c>
      <c r="D59">
        <v>10000</v>
      </c>
    </row>
    <row r="60" spans="1:4" x14ac:dyDescent="0.25">
      <c r="A60" t="str">
        <f>T("   732394")</f>
        <v xml:space="preserve">   732394</v>
      </c>
      <c r="B60" t="s">
        <v>67</v>
      </c>
      <c r="C60">
        <v>1050000</v>
      </c>
      <c r="D60">
        <v>1150</v>
      </c>
    </row>
    <row r="61" spans="1:4" x14ac:dyDescent="0.25">
      <c r="A61" t="str">
        <f>T("   740400")</f>
        <v xml:space="preserve">   740400</v>
      </c>
      <c r="B61" t="str">
        <f>T("   Déchets et débris de cuivre (à l'excl. des déchets lingotés ou formes brutes simil., en déchets et débris de cuivre fondus, et sauf cendres et résidus contenant du cuivre et déchets et débris de piles, batteries et accumulateurs électriques)")</f>
        <v xml:space="preserve">   Déchets et débris de cuivre (à l'excl. des déchets lingotés ou formes brutes simil., en déchets et débris de cuivre fondus, et sauf cendres et résidus contenant du cuivre et déchets et débris de piles, batteries et accumulateurs électriques)</v>
      </c>
      <c r="C61">
        <v>6217875</v>
      </c>
      <c r="D61">
        <v>49743</v>
      </c>
    </row>
    <row r="62" spans="1:4" x14ac:dyDescent="0.25">
      <c r="A62" t="str">
        <f>T("   840890")</f>
        <v xml:space="preserve">   840890</v>
      </c>
      <c r="B62" t="s">
        <v>74</v>
      </c>
      <c r="C62">
        <v>5100238</v>
      </c>
      <c r="D62">
        <v>7045</v>
      </c>
    </row>
    <row r="63" spans="1:4" x14ac:dyDescent="0.25">
      <c r="A63" t="str">
        <f>T("   843149")</f>
        <v xml:space="preserve">   843149</v>
      </c>
      <c r="B63" t="str">
        <f>T("   Parties de machines et appareils du n° 8426, 8429 ou 8430, n.d.a.")</f>
        <v xml:space="preserve">   Parties de machines et appareils du n° 8426, 8429 ou 8430, n.d.a.</v>
      </c>
      <c r="C63">
        <v>33905673</v>
      </c>
      <c r="D63">
        <v>2058</v>
      </c>
    </row>
    <row r="64" spans="1:4" x14ac:dyDescent="0.25">
      <c r="A64" t="str">
        <f>T("   870190")</f>
        <v xml:space="preserve">   870190</v>
      </c>
      <c r="B64"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64">
        <v>60000000</v>
      </c>
      <c r="D64">
        <v>203100</v>
      </c>
    </row>
    <row r="65" spans="1:4" x14ac:dyDescent="0.25">
      <c r="A65" t="str">
        <f>T("   870322")</f>
        <v xml:space="preserve">   870322</v>
      </c>
      <c r="B65" t="s">
        <v>87</v>
      </c>
      <c r="C65">
        <v>4900000</v>
      </c>
      <c r="D65">
        <v>1800</v>
      </c>
    </row>
    <row r="66" spans="1:4" x14ac:dyDescent="0.25">
      <c r="A66" t="str">
        <f>T("   870323")</f>
        <v xml:space="preserve">   870323</v>
      </c>
      <c r="B66" t="s">
        <v>88</v>
      </c>
      <c r="C66">
        <v>2400000</v>
      </c>
      <c r="D66">
        <v>2870</v>
      </c>
    </row>
    <row r="67" spans="1:4" x14ac:dyDescent="0.25">
      <c r="A67" t="str">
        <f>T("   870423")</f>
        <v xml:space="preserve">   870423</v>
      </c>
      <c r="B67" t="s">
        <v>95</v>
      </c>
      <c r="C67">
        <v>36000000</v>
      </c>
      <c r="D67">
        <v>16329</v>
      </c>
    </row>
    <row r="68" spans="1:4" x14ac:dyDescent="0.25">
      <c r="A68" t="str">
        <f>T("   940350")</f>
        <v xml:space="preserve">   940350</v>
      </c>
      <c r="B68" t="str">
        <f>T("   Meubles pour chambres à coucher, en bois (sauf sièges)")</f>
        <v xml:space="preserve">   Meubles pour chambres à coucher, en bois (sauf sièges)</v>
      </c>
      <c r="C68">
        <v>4750000</v>
      </c>
      <c r="D68">
        <v>5889</v>
      </c>
    </row>
    <row r="69" spans="1:4" x14ac:dyDescent="0.25">
      <c r="A69" t="str">
        <f>T("   940389")</f>
        <v xml:space="preserve">   940389</v>
      </c>
      <c r="B69"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69">
        <v>1500000</v>
      </c>
      <c r="D69">
        <v>20000</v>
      </c>
    </row>
    <row r="70" spans="1:4" x14ac:dyDescent="0.25">
      <c r="A70" t="str">
        <f>T("   940540")</f>
        <v xml:space="preserve">   940540</v>
      </c>
      <c r="B70" t="str">
        <f>T("   Appareils d'éclairage électrique, n.d.a.")</f>
        <v xml:space="preserve">   Appareils d'éclairage électrique, n.d.a.</v>
      </c>
      <c r="C70">
        <v>1866800</v>
      </c>
      <c r="D70">
        <v>2100</v>
      </c>
    </row>
    <row r="71" spans="1:4" x14ac:dyDescent="0.25">
      <c r="A71" t="str">
        <f>T("   961700")</f>
        <v xml:space="preserve">   961700</v>
      </c>
      <c r="B71"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71">
        <v>500000</v>
      </c>
      <c r="D71">
        <v>10000</v>
      </c>
    </row>
    <row r="72" spans="1:4" x14ac:dyDescent="0.25">
      <c r="A72" t="str">
        <f>T("BF")</f>
        <v>BF</v>
      </c>
      <c r="B72" t="str">
        <f>T("Burkina Faso")</f>
        <v>Burkina Faso</v>
      </c>
    </row>
    <row r="73" spans="1:4" x14ac:dyDescent="0.25">
      <c r="A73" t="str">
        <f>T("   ZZ_Total_Produit_SH6")</f>
        <v xml:space="preserve">   ZZ_Total_Produit_SH6</v>
      </c>
      <c r="B73" t="str">
        <f>T("   ZZ_Total_Produit_SH6")</f>
        <v xml:space="preserve">   ZZ_Total_Produit_SH6</v>
      </c>
      <c r="C73">
        <v>2400517852</v>
      </c>
      <c r="D73">
        <v>7472886.7999999998</v>
      </c>
    </row>
    <row r="74" spans="1:4" x14ac:dyDescent="0.25">
      <c r="A74" t="str">
        <f>T("   100110")</f>
        <v xml:space="preserve">   100110</v>
      </c>
      <c r="B74" t="str">
        <f>T("   Froment [blé] dur")</f>
        <v xml:space="preserve">   Froment [blé] dur</v>
      </c>
      <c r="C74">
        <v>528334980</v>
      </c>
      <c r="D74">
        <v>2461450</v>
      </c>
    </row>
    <row r="75" spans="1:4" x14ac:dyDescent="0.25">
      <c r="A75" t="str">
        <f>T("   110100")</f>
        <v xml:space="preserve">   110100</v>
      </c>
      <c r="B75" t="str">
        <f>T("   Farines de froment [blé] ou de méteil")</f>
        <v xml:space="preserve">   Farines de froment [blé] ou de méteil</v>
      </c>
      <c r="C75">
        <v>528334980</v>
      </c>
      <c r="D75">
        <v>2461450</v>
      </c>
    </row>
    <row r="76" spans="1:4" x14ac:dyDescent="0.25">
      <c r="A76" t="str">
        <f>T("   200941")</f>
        <v xml:space="preserve">   200941</v>
      </c>
      <c r="B76" t="str">
        <f>T("   JUS D'ANANAS, NON-FERMENTÉS, SANS ADDITION D'ALCOOL, AVEC OU SANS ADDITION DE SUCRE OU D'AUTRES ÉDULCORANTS, D'UNE VALEUR BRIX &lt;= 20 À 20°C")</f>
        <v xml:space="preserve">   JUS D'ANANAS, NON-FERMENTÉS, SANS ADDITION D'ALCOOL, AVEC OU SANS ADDITION DE SUCRE OU D'AUTRES ÉDULCORANTS, D'UNE VALEUR BRIX &lt;= 20 À 20°C</v>
      </c>
      <c r="C76">
        <v>30078750</v>
      </c>
      <c r="D76">
        <v>112800</v>
      </c>
    </row>
    <row r="77" spans="1:4" x14ac:dyDescent="0.25">
      <c r="A77" t="str">
        <f>T("   200949")</f>
        <v xml:space="preserve">   200949</v>
      </c>
      <c r="B77"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77">
        <v>49485000</v>
      </c>
      <c r="D77">
        <v>335500</v>
      </c>
    </row>
    <row r="78" spans="1:4" x14ac:dyDescent="0.25">
      <c r="A78" t="str">
        <f>T("   220110")</f>
        <v xml:space="preserve">   220110</v>
      </c>
      <c r="B78" t="str">
        <f>T("   Eaux minérales et eaux gazéifiées, non additionnées de sucre ou d'autres édulcorants ni aromatisées")</f>
        <v xml:space="preserve">   Eaux minérales et eaux gazéifiées, non additionnées de sucre ou d'autres édulcorants ni aromatisées</v>
      </c>
      <c r="C78">
        <v>24160403</v>
      </c>
      <c r="D78">
        <v>162000</v>
      </c>
    </row>
    <row r="79" spans="1:4" x14ac:dyDescent="0.25">
      <c r="A79" t="str">
        <f>T("   300490")</f>
        <v xml:space="preserve">   300490</v>
      </c>
      <c r="B79" t="s">
        <v>29</v>
      </c>
      <c r="C79">
        <v>9755128</v>
      </c>
      <c r="D79">
        <v>769</v>
      </c>
    </row>
    <row r="80" spans="1:4" x14ac:dyDescent="0.25">
      <c r="A80" t="str">
        <f>T("   320890")</f>
        <v xml:space="preserve">   320890</v>
      </c>
      <c r="B80" t="s">
        <v>32</v>
      </c>
      <c r="C80">
        <v>1387858</v>
      </c>
      <c r="D80">
        <v>252</v>
      </c>
    </row>
    <row r="81" spans="1:4" x14ac:dyDescent="0.25">
      <c r="A81" t="str">
        <f>T("   340290")</f>
        <v xml:space="preserve">   340290</v>
      </c>
      <c r="B81" t="s">
        <v>36</v>
      </c>
      <c r="C81">
        <v>17410000</v>
      </c>
      <c r="D81">
        <v>5000</v>
      </c>
    </row>
    <row r="82" spans="1:4" x14ac:dyDescent="0.25">
      <c r="A82" t="str">
        <f>T("   390190")</f>
        <v xml:space="preserve">   390190</v>
      </c>
      <c r="B82"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82">
        <v>23882742</v>
      </c>
      <c r="D82">
        <v>16755</v>
      </c>
    </row>
    <row r="83" spans="1:4" x14ac:dyDescent="0.25">
      <c r="A83" t="str">
        <f>T("   390799")</f>
        <v xml:space="preserve">   390799</v>
      </c>
      <c r="B83"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83">
        <v>133093635</v>
      </c>
      <c r="D83">
        <v>153747</v>
      </c>
    </row>
    <row r="84" spans="1:4" x14ac:dyDescent="0.25">
      <c r="A84" t="str">
        <f>T("   392330")</f>
        <v xml:space="preserve">   392330</v>
      </c>
      <c r="B84" t="str">
        <f>T("   Bonbonnes, bouteilles, flacons et articles simil. pour le transport ou l'emballage, en matières plastiques")</f>
        <v xml:space="preserve">   Bonbonnes, bouteilles, flacons et articles simil. pour le transport ou l'emballage, en matières plastiques</v>
      </c>
      <c r="C84">
        <v>214606146</v>
      </c>
      <c r="D84">
        <v>147541</v>
      </c>
    </row>
    <row r="85" spans="1:4" x14ac:dyDescent="0.25">
      <c r="A85" t="str">
        <f>T("   481910")</f>
        <v xml:space="preserve">   481910</v>
      </c>
      <c r="B85" t="str">
        <f>T("   Boîtes et caisses en papier ou en carton ondulé")</f>
        <v xml:space="preserve">   Boîtes et caisses en papier ou en carton ondulé</v>
      </c>
      <c r="C85">
        <v>8777112</v>
      </c>
      <c r="D85">
        <v>15252</v>
      </c>
    </row>
    <row r="86" spans="1:4" x14ac:dyDescent="0.25">
      <c r="A86" t="str">
        <f>T("   490700")</f>
        <v xml:space="preserve">   490700</v>
      </c>
      <c r="B86" t="s">
        <v>49</v>
      </c>
      <c r="C86">
        <v>2300000</v>
      </c>
      <c r="D86">
        <v>1081</v>
      </c>
    </row>
    <row r="87" spans="1:4" x14ac:dyDescent="0.25">
      <c r="A87" t="str">
        <f>T("   520951")</f>
        <v xml:space="preserve">   520951</v>
      </c>
      <c r="B87" t="str">
        <f>T("   Tissus de coton, imprimés, à armure toile, contenant &gt;= 85% en poids de coton, d'un poids &gt; 200 g/m²")</f>
        <v xml:space="preserve">   Tissus de coton, imprimés, à armure toile, contenant &gt;= 85% en poids de coton, d'un poids &gt; 200 g/m²</v>
      </c>
      <c r="C87">
        <v>1550450</v>
      </c>
      <c r="D87">
        <v>775</v>
      </c>
    </row>
    <row r="88" spans="1:4" x14ac:dyDescent="0.25">
      <c r="A88" t="str">
        <f>T("   630190")</f>
        <v xml:space="preserve">   630190</v>
      </c>
      <c r="B88" t="s">
        <v>54</v>
      </c>
      <c r="C88">
        <v>10345455</v>
      </c>
      <c r="D88">
        <v>24864</v>
      </c>
    </row>
    <row r="89" spans="1:4" x14ac:dyDescent="0.25">
      <c r="A89" t="str">
        <f>T("   630419")</f>
        <v xml:space="preserve">   630419</v>
      </c>
      <c r="B89" t="str">
        <f>T("   Couvre-lits en tous types de matières textiles (autres qu'en bonneterie et sauf linge de lit, couvre-pieds et édredons)")</f>
        <v xml:space="preserve">   Couvre-lits en tous types de matières textiles (autres qu'en bonneterie et sauf linge de lit, couvre-pieds et édredons)</v>
      </c>
      <c r="C89">
        <v>4930851</v>
      </c>
      <c r="D89">
        <v>23688</v>
      </c>
    </row>
    <row r="90" spans="1:4" x14ac:dyDescent="0.25">
      <c r="A90" t="str">
        <f>T("   630900")</f>
        <v xml:space="preserve">   630900</v>
      </c>
      <c r="B90" t="s">
        <v>56</v>
      </c>
      <c r="C90">
        <v>750000</v>
      </c>
      <c r="D90">
        <v>144</v>
      </c>
    </row>
    <row r="91" spans="1:4" x14ac:dyDescent="0.25">
      <c r="A91" t="str">
        <f>T("   720827")</f>
        <v xml:space="preserve">   720827</v>
      </c>
      <c r="B91" t="str">
        <f>T("   PRODUITS LAMINÉS PLATS, EN FER OU EN ACIERS NON ALLIÉS, D'UNE LARGEUR &gt;= 600 MM, ENROULÉS, SIMPLEMENT LAMINÉS À CHAUD, NON PLAQUÉS NI REVÊTUS, ÉPAISSEUR &lt; 3 MM, DÉCAPÉS (SANS MOTIFS EN RELIEF)")</f>
        <v xml:space="preserve">   PRODUITS LAMINÉS PLATS, EN FER OU EN ACIERS NON ALLIÉS, D'UNE LARGEUR &gt;= 600 MM, ENROULÉS, SIMPLEMENT LAMINÉS À CHAUD, NON PLAQUÉS NI REVÊTUS, ÉPAISSEUR &lt; 3 MM, DÉCAPÉS (SANS MOTIFS EN RELIEF)</v>
      </c>
      <c r="C91">
        <v>104737600</v>
      </c>
      <c r="D91">
        <v>282240</v>
      </c>
    </row>
    <row r="92" spans="1:4" x14ac:dyDescent="0.25">
      <c r="A92" t="str">
        <f>T("   720917")</f>
        <v xml:space="preserve">   720917</v>
      </c>
      <c r="B92"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92">
        <v>214312520</v>
      </c>
      <c r="D92">
        <v>582881</v>
      </c>
    </row>
    <row r="93" spans="1:4" x14ac:dyDescent="0.25">
      <c r="A93" t="str">
        <f>T("   720990")</f>
        <v xml:space="preserve">   720990</v>
      </c>
      <c r="B93" t="str">
        <f>T("   PRODUITS LAMINÉS PLATS, EN FER OU EN ACIER, D'UNE LARGEUR &gt;= 600 MM, LAMINÉS À FROID ET AYANT SUBI CERTAINES OUVRAISONS PLUS POUSSÉES, MAIS NON-PLAQUÉS NI REVÊTUS")</f>
        <v xml:space="preserve">   PRODUITS LAMINÉS PLATS, EN FER OU EN ACIER, D'UNE LARGEUR &gt;= 600 MM, LAMINÉS À FROID ET AYANT SUBI CERTAINES OUVRAISONS PLUS POUSSÉES, MAIS NON-PLAQUÉS NI REVÊTUS</v>
      </c>
      <c r="C93">
        <v>76562425</v>
      </c>
      <c r="D93">
        <v>225000</v>
      </c>
    </row>
    <row r="94" spans="1:4" x14ac:dyDescent="0.25">
      <c r="A94" t="str">
        <f>T("   721049")</f>
        <v xml:space="preserve">   721049</v>
      </c>
      <c r="B94"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94">
        <v>88932827</v>
      </c>
      <c r="D94">
        <v>154326</v>
      </c>
    </row>
    <row r="95" spans="1:4" x14ac:dyDescent="0.25">
      <c r="A95" t="str">
        <f>T("   730490")</f>
        <v xml:space="preserve">   730490</v>
      </c>
      <c r="B95" t="str">
        <f>T("   Tubes, tuyaux et profilés creux, sans soudure, de section autre que circulaire, en fer (à l'excl. de la fonte) ou en acier")</f>
        <v xml:space="preserve">   Tubes, tuyaux et profilés creux, sans soudure, de section autre que circulaire, en fer (à l'excl. de la fonte) ou en acier</v>
      </c>
      <c r="C95">
        <v>17790291</v>
      </c>
      <c r="D95">
        <v>105000</v>
      </c>
    </row>
    <row r="96" spans="1:4" x14ac:dyDescent="0.25">
      <c r="A96" t="str">
        <f>T("   730890")</f>
        <v xml:space="preserve">   730890</v>
      </c>
      <c r="B96" t="s">
        <v>66</v>
      </c>
      <c r="C96">
        <v>8009928</v>
      </c>
      <c r="D96">
        <v>21000</v>
      </c>
    </row>
    <row r="97" spans="1:4" x14ac:dyDescent="0.25">
      <c r="A97" t="str">
        <f>T("   731021")</f>
        <v xml:space="preserve">   731021</v>
      </c>
      <c r="B97"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97">
        <v>18540424</v>
      </c>
      <c r="D97">
        <v>49964</v>
      </c>
    </row>
    <row r="98" spans="1:4" x14ac:dyDescent="0.25">
      <c r="A98" t="str">
        <f>T("   841320")</f>
        <v xml:space="preserve">   841320</v>
      </c>
      <c r="B98" t="str">
        <f>T("   Pompes à bras pour liquides (sauf les pompes avec dispositif mesureur ou conçues pour en comporter du n° 8413.11 ou 8413.19)")</f>
        <v xml:space="preserve">   Pompes à bras pour liquides (sauf les pompes avec dispositif mesureur ou conçues pour en comporter du n° 8413.11 ou 8413.19)</v>
      </c>
      <c r="C98">
        <v>988269</v>
      </c>
      <c r="D98">
        <v>42</v>
      </c>
    </row>
    <row r="99" spans="1:4" x14ac:dyDescent="0.25">
      <c r="A99" t="str">
        <f>T("   841381")</f>
        <v xml:space="preserve">   841381</v>
      </c>
      <c r="B99" t="s">
        <v>76</v>
      </c>
      <c r="C99">
        <v>4147307</v>
      </c>
      <c r="D99">
        <v>235</v>
      </c>
    </row>
    <row r="100" spans="1:4" x14ac:dyDescent="0.25">
      <c r="A100" t="str">
        <f>T("   842649")</f>
        <v xml:space="preserve">   842649</v>
      </c>
      <c r="B100" t="str">
        <f>T("   Bigues et chariots-grues et appareils autopropulsés (autres que sur pneumatiques et sauf chariots-cavaliers)")</f>
        <v xml:space="preserve">   Bigues et chariots-grues et appareils autopropulsés (autres que sur pneumatiques et sauf chariots-cavaliers)</v>
      </c>
      <c r="C100">
        <v>22495000</v>
      </c>
      <c r="D100">
        <v>29520</v>
      </c>
    </row>
    <row r="101" spans="1:4" x14ac:dyDescent="0.25">
      <c r="A101" t="str">
        <f>T("   842920")</f>
        <v xml:space="preserve">   842920</v>
      </c>
      <c r="B101" t="str">
        <f>T("   Niveleuses autopropulsées")</f>
        <v xml:space="preserve">   Niveleuses autopropulsées</v>
      </c>
      <c r="C101">
        <v>75221000</v>
      </c>
      <c r="D101">
        <v>15000</v>
      </c>
    </row>
    <row r="102" spans="1:4" x14ac:dyDescent="0.25">
      <c r="A102" t="str">
        <f>T("   842959")</f>
        <v xml:space="preserve">   842959</v>
      </c>
      <c r="B102"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02">
        <v>59606567</v>
      </c>
      <c r="D102">
        <v>28946</v>
      </c>
    </row>
    <row r="103" spans="1:4" x14ac:dyDescent="0.25">
      <c r="A103" t="str">
        <f>T("   843049")</f>
        <v xml:space="preserve">   843049</v>
      </c>
      <c r="B103"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103">
        <v>50180940</v>
      </c>
      <c r="D103">
        <v>17016</v>
      </c>
    </row>
    <row r="104" spans="1:4" x14ac:dyDescent="0.25">
      <c r="A104" t="str">
        <f>T("   843139")</f>
        <v xml:space="preserve">   843139</v>
      </c>
      <c r="B104" t="str">
        <f>T("   Parties de machines et appareils du n° 8428, n.d.a.")</f>
        <v xml:space="preserve">   Parties de machines et appareils du n° 8428, n.d.a.</v>
      </c>
      <c r="C104">
        <v>12359569</v>
      </c>
      <c r="D104">
        <v>2600</v>
      </c>
    </row>
    <row r="105" spans="1:4" x14ac:dyDescent="0.25">
      <c r="A105" t="str">
        <f>T("   843149")</f>
        <v xml:space="preserve">   843149</v>
      </c>
      <c r="B105" t="str">
        <f>T("   Parties de machines et appareils du n° 8426, 8429 ou 8430, n.d.a.")</f>
        <v xml:space="preserve">   Parties de machines et appareils du n° 8426, 8429 ou 8430, n.d.a.</v>
      </c>
      <c r="C105">
        <v>2732000</v>
      </c>
      <c r="D105">
        <v>79</v>
      </c>
    </row>
    <row r="106" spans="1:4" x14ac:dyDescent="0.25">
      <c r="A106" t="str">
        <f>T("   846390")</f>
        <v xml:space="preserve">   846390</v>
      </c>
      <c r="B106" t="s">
        <v>79</v>
      </c>
      <c r="C106">
        <v>5000000</v>
      </c>
      <c r="D106">
        <v>5000</v>
      </c>
    </row>
    <row r="107" spans="1:4" x14ac:dyDescent="0.25">
      <c r="A107" t="str">
        <f>T("   850161")</f>
        <v xml:space="preserve">   850161</v>
      </c>
      <c r="B107" t="str">
        <f>T("   Alternateurs, puissance &lt;= 75 kVA")</f>
        <v xml:space="preserve">   Alternateurs, puissance &lt;= 75 kVA</v>
      </c>
      <c r="C107">
        <v>5282905</v>
      </c>
      <c r="D107">
        <v>197</v>
      </c>
    </row>
    <row r="108" spans="1:4" x14ac:dyDescent="0.25">
      <c r="A108" t="str">
        <f>T("   852550")</f>
        <v xml:space="preserve">   852550</v>
      </c>
      <c r="B108" t="str">
        <f>T("   APPAREILS D'ÉMISSION POUR LA RADIODIFFUSION OU LA TÉLÉVISION, SANS APPAREIL DE RÉCEPTION")</f>
        <v xml:space="preserve">   APPAREILS D'ÉMISSION POUR LA RADIODIFFUSION OU LA TÉLÉVISION, SANS APPAREIL DE RÉCEPTION</v>
      </c>
      <c r="C108">
        <v>4461000</v>
      </c>
      <c r="D108">
        <v>856</v>
      </c>
    </row>
    <row r="109" spans="1:4" x14ac:dyDescent="0.25">
      <c r="A109" t="str">
        <f>T("   870120")</f>
        <v xml:space="preserve">   870120</v>
      </c>
      <c r="B109" t="str">
        <f>T("   Tracteurs routiers pour semi-remorques")</f>
        <v xml:space="preserve">   Tracteurs routiers pour semi-remorques</v>
      </c>
      <c r="C109">
        <v>11672698</v>
      </c>
      <c r="D109">
        <v>6000</v>
      </c>
    </row>
    <row r="110" spans="1:4" x14ac:dyDescent="0.25">
      <c r="A110" t="str">
        <f>T("   870422")</f>
        <v xml:space="preserve">   870422</v>
      </c>
      <c r="B110" t="s">
        <v>94</v>
      </c>
      <c r="C110">
        <v>18476373</v>
      </c>
      <c r="D110">
        <v>17000</v>
      </c>
    </row>
    <row r="111" spans="1:4" x14ac:dyDescent="0.25">
      <c r="A111" t="str">
        <f>T("   871640")</f>
        <v xml:space="preserve">   871640</v>
      </c>
      <c r="B111"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11">
        <v>1512830</v>
      </c>
      <c r="D111">
        <v>4000</v>
      </c>
    </row>
    <row r="112" spans="1:4" x14ac:dyDescent="0.25">
      <c r="A112" t="str">
        <f>T("   940490")</f>
        <v xml:space="preserve">   940490</v>
      </c>
      <c r="B112" t="s">
        <v>101</v>
      </c>
      <c r="C112">
        <v>8311889</v>
      </c>
      <c r="D112">
        <v>2916.8</v>
      </c>
    </row>
    <row r="113" spans="1:4" x14ac:dyDescent="0.25">
      <c r="A113" t="str">
        <f>T("BG")</f>
        <v>BG</v>
      </c>
      <c r="B113" t="str">
        <f>T("Bulgarie")</f>
        <v>Bulgarie</v>
      </c>
    </row>
    <row r="114" spans="1:4" x14ac:dyDescent="0.25">
      <c r="A114" t="str">
        <f>T("   ZZ_Total_Produit_SH6")</f>
        <v xml:space="preserve">   ZZ_Total_Produit_SH6</v>
      </c>
      <c r="B114" t="str">
        <f>T("   ZZ_Total_Produit_SH6")</f>
        <v xml:space="preserve">   ZZ_Total_Produit_SH6</v>
      </c>
      <c r="C114">
        <v>1400000</v>
      </c>
      <c r="D114">
        <v>1200</v>
      </c>
    </row>
    <row r="115" spans="1:4" x14ac:dyDescent="0.25">
      <c r="A115" t="str">
        <f>T("   940350")</f>
        <v xml:space="preserve">   940350</v>
      </c>
      <c r="B115" t="str">
        <f>T("   Meubles pour chambres à coucher, en bois (sauf sièges)")</f>
        <v xml:space="preserve">   Meubles pour chambres à coucher, en bois (sauf sièges)</v>
      </c>
      <c r="C115">
        <v>1400000</v>
      </c>
      <c r="D115">
        <v>1200</v>
      </c>
    </row>
    <row r="116" spans="1:4" x14ac:dyDescent="0.25">
      <c r="A116" t="str">
        <f>T("BI")</f>
        <v>BI</v>
      </c>
      <c r="B116" t="str">
        <f>T("Burundi")</f>
        <v>Burundi</v>
      </c>
    </row>
    <row r="117" spans="1:4" x14ac:dyDescent="0.25">
      <c r="A117" t="str">
        <f>T("   ZZ_Total_Produit_SH6")</f>
        <v xml:space="preserve">   ZZ_Total_Produit_SH6</v>
      </c>
      <c r="B117" t="str">
        <f>T("   ZZ_Total_Produit_SH6")</f>
        <v xml:space="preserve">   ZZ_Total_Produit_SH6</v>
      </c>
      <c r="C117">
        <v>18388828</v>
      </c>
      <c r="D117">
        <v>17270</v>
      </c>
    </row>
    <row r="118" spans="1:4" x14ac:dyDescent="0.25">
      <c r="A118" t="str">
        <f>T("   490199")</f>
        <v xml:space="preserve">   490199</v>
      </c>
      <c r="B11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18">
        <v>100000</v>
      </c>
      <c r="D118">
        <v>150</v>
      </c>
    </row>
    <row r="119" spans="1:4" x14ac:dyDescent="0.25">
      <c r="A119" t="str">
        <f>T("   620590")</f>
        <v xml:space="preserve">   620590</v>
      </c>
      <c r="B11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9">
        <v>500000</v>
      </c>
      <c r="D119">
        <v>650</v>
      </c>
    </row>
    <row r="120" spans="1:4" x14ac:dyDescent="0.25">
      <c r="A120" t="str">
        <f>T("   870322")</f>
        <v xml:space="preserve">   870322</v>
      </c>
      <c r="B120" t="s">
        <v>87</v>
      </c>
      <c r="C120">
        <v>2489480</v>
      </c>
      <c r="D120">
        <v>1730</v>
      </c>
    </row>
    <row r="121" spans="1:4" x14ac:dyDescent="0.25">
      <c r="A121" t="str">
        <f>T("   870323")</f>
        <v xml:space="preserve">   870323</v>
      </c>
      <c r="B121" t="s">
        <v>88</v>
      </c>
      <c r="C121">
        <v>1000000</v>
      </c>
      <c r="D121">
        <v>1930</v>
      </c>
    </row>
    <row r="122" spans="1:4" x14ac:dyDescent="0.25">
      <c r="A122" t="str">
        <f>T("   940350")</f>
        <v xml:space="preserve">   940350</v>
      </c>
      <c r="B122" t="str">
        <f>T("   Meubles pour chambres à coucher, en bois (sauf sièges)")</f>
        <v xml:space="preserve">   Meubles pour chambres à coucher, en bois (sauf sièges)</v>
      </c>
      <c r="C122">
        <v>5172416</v>
      </c>
      <c r="D122">
        <v>8700</v>
      </c>
    </row>
    <row r="123" spans="1:4" x14ac:dyDescent="0.25">
      <c r="A123" t="str">
        <f>T("   940390")</f>
        <v xml:space="preserve">   940390</v>
      </c>
      <c r="B123"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123">
        <v>9126932</v>
      </c>
      <c r="D123">
        <v>4110</v>
      </c>
    </row>
    <row r="124" spans="1:4" x14ac:dyDescent="0.25">
      <c r="A124" t="str">
        <f>T("BR")</f>
        <v>BR</v>
      </c>
      <c r="B124" t="str">
        <f>T("Brésil")</f>
        <v>Brésil</v>
      </c>
    </row>
    <row r="125" spans="1:4" x14ac:dyDescent="0.25">
      <c r="A125" t="str">
        <f>T("   ZZ_Total_Produit_SH6")</f>
        <v xml:space="preserve">   ZZ_Total_Produit_SH6</v>
      </c>
      <c r="B125" t="str">
        <f>T("   ZZ_Total_Produit_SH6")</f>
        <v xml:space="preserve">   ZZ_Total_Produit_SH6</v>
      </c>
      <c r="C125">
        <v>5728808</v>
      </c>
      <c r="D125">
        <v>12701</v>
      </c>
    </row>
    <row r="126" spans="1:4" x14ac:dyDescent="0.25">
      <c r="A126" t="str">
        <f>T("   080430")</f>
        <v xml:space="preserve">   080430</v>
      </c>
      <c r="B126" t="str">
        <f>T("   Ananas, frais ou secs")</f>
        <v xml:space="preserve">   Ananas, frais ou secs</v>
      </c>
      <c r="C126">
        <v>82800</v>
      </c>
      <c r="D126">
        <v>690</v>
      </c>
    </row>
    <row r="127" spans="1:4" x14ac:dyDescent="0.25">
      <c r="A127" t="str">
        <f>T("   490290")</f>
        <v xml:space="preserve">   490290</v>
      </c>
      <c r="B127"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127">
        <v>1000000</v>
      </c>
      <c r="D127">
        <v>760</v>
      </c>
    </row>
    <row r="128" spans="1:4" x14ac:dyDescent="0.25">
      <c r="A128" t="str">
        <f>T("   720429")</f>
        <v xml:space="preserve">   720429</v>
      </c>
      <c r="B128"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128">
        <v>500000</v>
      </c>
      <c r="D128">
        <v>10000</v>
      </c>
    </row>
    <row r="129" spans="1:4" x14ac:dyDescent="0.25">
      <c r="A129" t="str">
        <f>T("   940540")</f>
        <v xml:space="preserve">   940540</v>
      </c>
      <c r="B129" t="str">
        <f>T("   Appareils d'éclairage électrique, n.d.a.")</f>
        <v xml:space="preserve">   Appareils d'éclairage électrique, n.d.a.</v>
      </c>
      <c r="C129">
        <v>4146008</v>
      </c>
      <c r="D129">
        <v>1251</v>
      </c>
    </row>
    <row r="130" spans="1:4" x14ac:dyDescent="0.25">
      <c r="A130" t="str">
        <f>T("CA")</f>
        <v>CA</v>
      </c>
      <c r="B130" t="str">
        <f>T("Canada")</f>
        <v>Canada</v>
      </c>
    </row>
    <row r="131" spans="1:4" x14ac:dyDescent="0.25">
      <c r="A131" t="str">
        <f>T("   ZZ_Total_Produit_SH6")</f>
        <v xml:space="preserve">   ZZ_Total_Produit_SH6</v>
      </c>
      <c r="B131" t="str">
        <f>T("   ZZ_Total_Produit_SH6")</f>
        <v xml:space="preserve">   ZZ_Total_Produit_SH6</v>
      </c>
      <c r="C131">
        <v>2452000</v>
      </c>
      <c r="D131">
        <v>410</v>
      </c>
    </row>
    <row r="132" spans="1:4" x14ac:dyDescent="0.25">
      <c r="A132" t="str">
        <f>T("   051191")</f>
        <v xml:space="preserve">   051191</v>
      </c>
      <c r="B132" t="str">
        <f>T("   Produits de poissons ou de crustacés, mollusques ou autres invertébrés aquatiques; poissons, crustacés, mollusques ou autres invertébrés aquatiques, morts, impropres à l'alimentation humaine")</f>
        <v xml:space="preserve">   Produits de poissons ou de crustacés, mollusques ou autres invertébrés aquatiques; poissons, crustacés, mollusques ou autres invertébrés aquatiques, morts, impropres à l'alimentation humaine</v>
      </c>
      <c r="C132">
        <v>58000</v>
      </c>
      <c r="D132">
        <v>50</v>
      </c>
    </row>
    <row r="133" spans="1:4" x14ac:dyDescent="0.25">
      <c r="A133" t="str">
        <f>T("   220600")</f>
        <v xml:space="preserve">   220600</v>
      </c>
      <c r="B133" t="s">
        <v>21</v>
      </c>
      <c r="C133">
        <v>2394000</v>
      </c>
      <c r="D133">
        <v>360</v>
      </c>
    </row>
    <row r="134" spans="1:4" x14ac:dyDescent="0.25">
      <c r="A134" t="str">
        <f>T("CD")</f>
        <v>CD</v>
      </c>
      <c r="B134" t="str">
        <f>T("Congo, République Démocratique")</f>
        <v>Congo, République Démocratique</v>
      </c>
    </row>
    <row r="135" spans="1:4" x14ac:dyDescent="0.25">
      <c r="A135" t="str">
        <f>T("   ZZ_Total_Produit_SH6")</f>
        <v xml:space="preserve">   ZZ_Total_Produit_SH6</v>
      </c>
      <c r="B135" t="str">
        <f>T("   ZZ_Total_Produit_SH6")</f>
        <v xml:space="preserve">   ZZ_Total_Produit_SH6</v>
      </c>
      <c r="C135">
        <v>176544456</v>
      </c>
      <c r="D135">
        <v>126739</v>
      </c>
    </row>
    <row r="136" spans="1:4" x14ac:dyDescent="0.25">
      <c r="A136" t="str">
        <f>T("   110620")</f>
        <v xml:space="preserve">   110620</v>
      </c>
      <c r="B136" t="str">
        <f>T("   Farines, semoules et poudres de sagou ou des racines ou tubercules du n° 0714")</f>
        <v xml:space="preserve">   Farines, semoules et poudres de sagou ou des racines ou tubercules du n° 0714</v>
      </c>
      <c r="C136">
        <v>2885000</v>
      </c>
      <c r="D136">
        <v>30580</v>
      </c>
    </row>
    <row r="137" spans="1:4" x14ac:dyDescent="0.25">
      <c r="A137" t="str">
        <f>T("   120799")</f>
        <v xml:space="preserve">   120799</v>
      </c>
      <c r="B137" t="s">
        <v>16</v>
      </c>
      <c r="C137">
        <v>24008026</v>
      </c>
      <c r="D137">
        <v>280</v>
      </c>
    </row>
    <row r="138" spans="1:4" x14ac:dyDescent="0.25">
      <c r="A138" t="str">
        <f>T("   121230")</f>
        <v xml:space="preserve">   121230</v>
      </c>
      <c r="B138" t="str">
        <f>T("   Noyaux et amandes d'abricots, de pêches [y.c. des brugnons et nectarines] ou de prunes")</f>
        <v xml:space="preserve">   Noyaux et amandes d'abricots, de pêches [y.c. des brugnons et nectarines] ou de prunes</v>
      </c>
      <c r="C138">
        <v>107944283</v>
      </c>
      <c r="D138">
        <v>1236</v>
      </c>
    </row>
    <row r="139" spans="1:4" x14ac:dyDescent="0.25">
      <c r="A139" t="str">
        <f>T("   230400")</f>
        <v xml:space="preserve">   230400</v>
      </c>
      <c r="B139"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139">
        <v>7327540</v>
      </c>
      <c r="D139">
        <v>19283</v>
      </c>
    </row>
    <row r="140" spans="1:4" x14ac:dyDescent="0.25">
      <c r="A140" t="str">
        <f>T("   340119")</f>
        <v xml:space="preserve">   340119</v>
      </c>
      <c r="B140" t="s">
        <v>35</v>
      </c>
      <c r="C140">
        <v>1200000</v>
      </c>
      <c r="D140">
        <v>10000</v>
      </c>
    </row>
    <row r="141" spans="1:4" x14ac:dyDescent="0.25">
      <c r="A141" t="str">
        <f>T("   490199")</f>
        <v xml:space="preserve">   490199</v>
      </c>
      <c r="B14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41">
        <v>4604839</v>
      </c>
      <c r="D141">
        <v>22730</v>
      </c>
    </row>
    <row r="142" spans="1:4" x14ac:dyDescent="0.25">
      <c r="A142" t="str">
        <f>T("   620590")</f>
        <v xml:space="preserve">   620590</v>
      </c>
      <c r="B142"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42">
        <v>600000</v>
      </c>
      <c r="D142">
        <v>400</v>
      </c>
    </row>
    <row r="143" spans="1:4" x14ac:dyDescent="0.25">
      <c r="A143" t="str">
        <f>T("   640590")</f>
        <v xml:space="preserve">   640590</v>
      </c>
      <c r="B143" t="s">
        <v>59</v>
      </c>
      <c r="C143">
        <v>13125309</v>
      </c>
      <c r="D143">
        <v>10000</v>
      </c>
    </row>
    <row r="144" spans="1:4" x14ac:dyDescent="0.25">
      <c r="A144" t="str">
        <f>T("   732394")</f>
        <v xml:space="preserve">   732394</v>
      </c>
      <c r="B144" t="s">
        <v>67</v>
      </c>
      <c r="C144">
        <v>200000</v>
      </c>
      <c r="D144">
        <v>100</v>
      </c>
    </row>
    <row r="145" spans="1:4" x14ac:dyDescent="0.25">
      <c r="A145" t="str">
        <f>T("   870322")</f>
        <v xml:space="preserve">   870322</v>
      </c>
      <c r="B145" t="s">
        <v>87</v>
      </c>
      <c r="C145">
        <v>2050000</v>
      </c>
      <c r="D145">
        <v>4230</v>
      </c>
    </row>
    <row r="146" spans="1:4" x14ac:dyDescent="0.25">
      <c r="A146" t="str">
        <f>T("   870431")</f>
        <v xml:space="preserve">   870431</v>
      </c>
      <c r="B146" t="s">
        <v>96</v>
      </c>
      <c r="C146">
        <v>1200000</v>
      </c>
      <c r="D146">
        <v>1000</v>
      </c>
    </row>
    <row r="147" spans="1:4" x14ac:dyDescent="0.25">
      <c r="A147" t="str">
        <f>T("   940350")</f>
        <v xml:space="preserve">   940350</v>
      </c>
      <c r="B147" t="str">
        <f>T("   Meubles pour chambres à coucher, en bois (sauf sièges)")</f>
        <v xml:space="preserve">   Meubles pour chambres à coucher, en bois (sauf sièges)</v>
      </c>
      <c r="C147">
        <v>1200000</v>
      </c>
      <c r="D147">
        <v>1500</v>
      </c>
    </row>
    <row r="148" spans="1:4" x14ac:dyDescent="0.25">
      <c r="A148" t="str">
        <f>T("   940360")</f>
        <v xml:space="preserve">   940360</v>
      </c>
      <c r="B148" t="str">
        <f>T("   Meubles en bois (autres que pour bureaux, cuisines ou chambres à coucher et autres que sièges)")</f>
        <v xml:space="preserve">   Meubles en bois (autres que pour bureaux, cuisines ou chambres à coucher et autres que sièges)</v>
      </c>
      <c r="C148">
        <v>5199459</v>
      </c>
      <c r="D148">
        <v>10400</v>
      </c>
    </row>
    <row r="149" spans="1:4" x14ac:dyDescent="0.25">
      <c r="A149" t="str">
        <f>T("   940389")</f>
        <v xml:space="preserve">   940389</v>
      </c>
      <c r="B149"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149">
        <v>5000000</v>
      </c>
      <c r="D149">
        <v>15000</v>
      </c>
    </row>
    <row r="150" spans="1:4" x14ac:dyDescent="0.25">
      <c r="A150" t="str">
        <f>T("CF")</f>
        <v>CF</v>
      </c>
      <c r="B150" t="str">
        <f>T("Centrafricaine, République")</f>
        <v>Centrafricaine, République</v>
      </c>
    </row>
    <row r="151" spans="1:4" x14ac:dyDescent="0.25">
      <c r="A151" t="str">
        <f>T("   ZZ_Total_Produit_SH6")</f>
        <v xml:space="preserve">   ZZ_Total_Produit_SH6</v>
      </c>
      <c r="B151" t="str">
        <f>T("   ZZ_Total_Produit_SH6")</f>
        <v xml:space="preserve">   ZZ_Total_Produit_SH6</v>
      </c>
      <c r="C151">
        <v>72155272</v>
      </c>
      <c r="D151">
        <v>640</v>
      </c>
    </row>
    <row r="152" spans="1:4" x14ac:dyDescent="0.25">
      <c r="A152" t="str">
        <f>T("   121220")</f>
        <v xml:space="preserve">   121220</v>
      </c>
      <c r="B152" t="str">
        <f>T("   Algues, fraîches, réfrigérées, congelées ou séchées, même pulvérisées")</f>
        <v xml:space="preserve">   Algues, fraîches, réfrigérées, congelées ou séchées, même pulvérisées</v>
      </c>
      <c r="C152">
        <v>18038818</v>
      </c>
      <c r="D152">
        <v>160</v>
      </c>
    </row>
    <row r="153" spans="1:4" x14ac:dyDescent="0.25">
      <c r="A153" t="str">
        <f>T("   121230")</f>
        <v xml:space="preserve">   121230</v>
      </c>
      <c r="B153" t="str">
        <f>T("   Noyaux et amandes d'abricots, de pêches [y.c. des brugnons et nectarines] ou de prunes")</f>
        <v xml:space="preserve">   Noyaux et amandes d'abricots, de pêches [y.c. des brugnons et nectarines] ou de prunes</v>
      </c>
      <c r="C153">
        <v>54116454</v>
      </c>
      <c r="D153">
        <v>480</v>
      </c>
    </row>
    <row r="154" spans="1:4" x14ac:dyDescent="0.25">
      <c r="A154" t="str">
        <f>T("CG")</f>
        <v>CG</v>
      </c>
      <c r="B154" t="str">
        <f>T("Congo (Brazzaville)")</f>
        <v>Congo (Brazzaville)</v>
      </c>
    </row>
    <row r="155" spans="1:4" x14ac:dyDescent="0.25">
      <c r="A155" t="str">
        <f>T("   ZZ_Total_Produit_SH6")</f>
        <v xml:space="preserve">   ZZ_Total_Produit_SH6</v>
      </c>
      <c r="B155" t="str">
        <f>T("   ZZ_Total_Produit_SH6")</f>
        <v xml:space="preserve">   ZZ_Total_Produit_SH6</v>
      </c>
      <c r="C155">
        <v>98363511</v>
      </c>
      <c r="D155">
        <v>211442</v>
      </c>
    </row>
    <row r="156" spans="1:4" x14ac:dyDescent="0.25">
      <c r="A156" t="str">
        <f>T("   060499")</f>
        <v xml:space="preserve">   060499</v>
      </c>
      <c r="B156" t="str">
        <f>T("   Feuillages, feuilles, rameaux et autres parties de plantes, sans fleurs ni boutons de fleurs, et herbes, pour bouquets ou pour ornements, séchés, blanchis, teints, imprégnés ou autrement travaillés")</f>
        <v xml:space="preserve">   Feuillages, feuilles, rameaux et autres parties de plantes, sans fleurs ni boutons de fleurs, et herbes, pour bouquets ou pour ornements, séchés, blanchis, teints, imprégnés ou autrement travaillés</v>
      </c>
      <c r="C156">
        <v>550000</v>
      </c>
      <c r="D156">
        <v>12230</v>
      </c>
    </row>
    <row r="157" spans="1:4" x14ac:dyDescent="0.25">
      <c r="A157" t="str">
        <f>T("   071029")</f>
        <v xml:space="preserve">   071029</v>
      </c>
      <c r="B157" t="str">
        <f>T("   Légumes à cosse, écossés ou non, non cuits ou cuits à l'eau ou à la vapeur, congelés (à l'excl. des pois 'Pisum sativum' et des haricots 'Vigna spp., Phaseolus spp.')")</f>
        <v xml:space="preserve">   Légumes à cosse, écossés ou non, non cuits ou cuits à l'eau ou à la vapeur, congelés (à l'excl. des pois 'Pisum sativum' et des haricots 'Vigna spp., Phaseolus spp.')</v>
      </c>
      <c r="C157">
        <v>2000000</v>
      </c>
      <c r="D157">
        <v>1000</v>
      </c>
    </row>
    <row r="158" spans="1:4" x14ac:dyDescent="0.25">
      <c r="A158" t="str">
        <f>T("   110620")</f>
        <v xml:space="preserve">   110620</v>
      </c>
      <c r="B158" t="str">
        <f>T("   Farines, semoules et poudres de sagou ou des racines ou tubercules du n° 0714")</f>
        <v xml:space="preserve">   Farines, semoules et poudres de sagou ou des racines ou tubercules du n° 0714</v>
      </c>
      <c r="C158">
        <v>11377500</v>
      </c>
      <c r="D158">
        <v>58800</v>
      </c>
    </row>
    <row r="159" spans="1:4" x14ac:dyDescent="0.25">
      <c r="A159" t="str">
        <f>T("   340111")</f>
        <v xml:space="preserve">   340111</v>
      </c>
      <c r="B159" t="s">
        <v>34</v>
      </c>
      <c r="C159">
        <v>7000000</v>
      </c>
      <c r="D159">
        <v>2200</v>
      </c>
    </row>
    <row r="160" spans="1:4" x14ac:dyDescent="0.25">
      <c r="A160" t="str">
        <f>T("   340119")</f>
        <v xml:space="preserve">   340119</v>
      </c>
      <c r="B160" t="s">
        <v>35</v>
      </c>
      <c r="C160">
        <v>6500000</v>
      </c>
      <c r="D160">
        <v>27300</v>
      </c>
    </row>
    <row r="161" spans="1:4" x14ac:dyDescent="0.25">
      <c r="A161" t="str">
        <f>T("   401220")</f>
        <v xml:space="preserve">   401220</v>
      </c>
      <c r="B161" t="str">
        <f>T("   Pneumatiques usagés, en caoutchouc")</f>
        <v xml:space="preserve">   Pneumatiques usagés, en caoutchouc</v>
      </c>
      <c r="C161">
        <v>24000000</v>
      </c>
      <c r="D161">
        <v>53000</v>
      </c>
    </row>
    <row r="162" spans="1:4" x14ac:dyDescent="0.25">
      <c r="A162" t="str">
        <f>T("   520852")</f>
        <v xml:space="preserve">   520852</v>
      </c>
      <c r="B162" t="str">
        <f>T("   Tissus de coton, imprimés, à armure toile, contenant &gt;= 85% en poids de coton, d'un poids &gt; 100 g/m² mais &lt;= 200 g/m²")</f>
        <v xml:space="preserve">   Tissus de coton, imprimés, à armure toile, contenant &gt;= 85% en poids de coton, d'un poids &gt; 100 g/m² mais &lt;= 200 g/m²</v>
      </c>
      <c r="C162">
        <v>9500000</v>
      </c>
      <c r="D162">
        <v>18000</v>
      </c>
    </row>
    <row r="163" spans="1:4" x14ac:dyDescent="0.25">
      <c r="A163" t="str">
        <f>T("   620590")</f>
        <v xml:space="preserve">   620590</v>
      </c>
      <c r="B16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63">
        <v>500000</v>
      </c>
      <c r="D163">
        <v>1000</v>
      </c>
    </row>
    <row r="164" spans="1:4" x14ac:dyDescent="0.25">
      <c r="A164" t="str">
        <f>T("   640590")</f>
        <v xml:space="preserve">   640590</v>
      </c>
      <c r="B164" t="s">
        <v>59</v>
      </c>
      <c r="C164">
        <v>1000000</v>
      </c>
      <c r="D164">
        <v>10000</v>
      </c>
    </row>
    <row r="165" spans="1:4" x14ac:dyDescent="0.25">
      <c r="A165" t="str">
        <f>T("   732394")</f>
        <v xml:space="preserve">   732394</v>
      </c>
      <c r="B165" t="s">
        <v>67</v>
      </c>
      <c r="C165">
        <v>2818886</v>
      </c>
      <c r="D165">
        <v>582</v>
      </c>
    </row>
    <row r="166" spans="1:4" x14ac:dyDescent="0.25">
      <c r="A166" t="str">
        <f>T("   840890")</f>
        <v xml:space="preserve">   840890</v>
      </c>
      <c r="B166" t="s">
        <v>74</v>
      </c>
      <c r="C166">
        <v>150000</v>
      </c>
      <c r="D166">
        <v>350</v>
      </c>
    </row>
    <row r="167" spans="1:4" x14ac:dyDescent="0.25">
      <c r="A167" t="str">
        <f>T("   842959")</f>
        <v xml:space="preserve">   842959</v>
      </c>
      <c r="B167"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67">
        <v>700000</v>
      </c>
      <c r="D167">
        <v>415</v>
      </c>
    </row>
    <row r="168" spans="1:4" x14ac:dyDescent="0.25">
      <c r="A168" t="str">
        <f>T("   870322")</f>
        <v xml:space="preserve">   870322</v>
      </c>
      <c r="B168" t="s">
        <v>87</v>
      </c>
      <c r="C168">
        <v>10842760</v>
      </c>
      <c r="D168">
        <v>8055</v>
      </c>
    </row>
    <row r="169" spans="1:4" x14ac:dyDescent="0.25">
      <c r="A169" t="str">
        <f>T("   870323")</f>
        <v xml:space="preserve">   870323</v>
      </c>
      <c r="B169" t="s">
        <v>88</v>
      </c>
      <c r="C169">
        <v>11340000</v>
      </c>
      <c r="D169">
        <v>8360</v>
      </c>
    </row>
    <row r="170" spans="1:4" x14ac:dyDescent="0.25">
      <c r="A170" t="str">
        <f>T("   870421")</f>
        <v xml:space="preserve">   870421</v>
      </c>
      <c r="B170" t="s">
        <v>93</v>
      </c>
      <c r="C170">
        <v>1000000</v>
      </c>
      <c r="D170">
        <v>1000</v>
      </c>
    </row>
    <row r="171" spans="1:4" x14ac:dyDescent="0.25">
      <c r="A171" t="str">
        <f>T("   870490")</f>
        <v xml:space="preserve">   870490</v>
      </c>
      <c r="B171"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171">
        <v>3000000</v>
      </c>
      <c r="D171">
        <v>3500</v>
      </c>
    </row>
    <row r="172" spans="1:4" x14ac:dyDescent="0.25">
      <c r="A172" t="str">
        <f>T("   871110")</f>
        <v xml:space="preserve">   871110</v>
      </c>
      <c r="B172" t="str">
        <f>T("   Cyclomoteurs, à moteur à piston alternatif, cylindrée &lt;= 50 cm³, y.c. cycles à moteur auxiliaire")</f>
        <v xml:space="preserve">   Cyclomoteurs, à moteur à piston alternatif, cylindrée &lt;= 50 cm³, y.c. cycles à moteur auxiliaire</v>
      </c>
      <c r="C172">
        <v>819365</v>
      </c>
      <c r="D172">
        <v>150</v>
      </c>
    </row>
    <row r="173" spans="1:4" x14ac:dyDescent="0.25">
      <c r="A173" t="str">
        <f>T("   940350")</f>
        <v xml:space="preserve">   940350</v>
      </c>
      <c r="B173" t="str">
        <f>T("   Meubles pour chambres à coucher, en bois (sauf sièges)")</f>
        <v xml:space="preserve">   Meubles pour chambres à coucher, en bois (sauf sièges)</v>
      </c>
      <c r="C173">
        <v>1200000</v>
      </c>
      <c r="D173">
        <v>2500</v>
      </c>
    </row>
    <row r="174" spans="1:4" x14ac:dyDescent="0.25">
      <c r="A174" t="str">
        <f>T("   940390")</f>
        <v xml:space="preserve">   940390</v>
      </c>
      <c r="B174"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174">
        <v>4065000</v>
      </c>
      <c r="D174">
        <v>3000</v>
      </c>
    </row>
    <row r="175" spans="1:4" x14ac:dyDescent="0.25">
      <c r="A175" t="str">
        <f>T("CH")</f>
        <v>CH</v>
      </c>
      <c r="B175" t="str">
        <f>T("Suisse")</f>
        <v>Suisse</v>
      </c>
    </row>
    <row r="176" spans="1:4" x14ac:dyDescent="0.25">
      <c r="A176" t="str">
        <f>T("   ZZ_Total_Produit_SH6")</f>
        <v xml:space="preserve">   ZZ_Total_Produit_SH6</v>
      </c>
      <c r="B176" t="str">
        <f>T("   ZZ_Total_Produit_SH6")</f>
        <v xml:space="preserve">   ZZ_Total_Produit_SH6</v>
      </c>
      <c r="C176">
        <v>224233933</v>
      </c>
      <c r="D176">
        <v>713367</v>
      </c>
    </row>
    <row r="177" spans="1:4" x14ac:dyDescent="0.25">
      <c r="A177" t="str">
        <f>T("   080430")</f>
        <v xml:space="preserve">   080430</v>
      </c>
      <c r="B177" t="str">
        <f>T("   Ananas, frais ou secs")</f>
        <v xml:space="preserve">   Ananas, frais ou secs</v>
      </c>
      <c r="C177">
        <v>312500</v>
      </c>
      <c r="D177">
        <v>625</v>
      </c>
    </row>
    <row r="178" spans="1:4" x14ac:dyDescent="0.25">
      <c r="A178" t="str">
        <f>T("   392329")</f>
        <v xml:space="preserve">   392329</v>
      </c>
      <c r="B178" t="str">
        <f>T("   Sacs, sachets, pochettes et cornets, en matières plastiques (autres que les polymères de l'éthylène)")</f>
        <v xml:space="preserve">   Sacs, sachets, pochettes et cornets, en matières plastiques (autres que les polymères de l'éthylène)</v>
      </c>
      <c r="C178">
        <v>39522546</v>
      </c>
      <c r="D178">
        <v>29600</v>
      </c>
    </row>
    <row r="179" spans="1:4" x14ac:dyDescent="0.25">
      <c r="A179" t="str">
        <f>T("   440399")</f>
        <v xml:space="preserve">   440399</v>
      </c>
      <c r="B179" t="s">
        <v>46</v>
      </c>
      <c r="C179">
        <v>21450000</v>
      </c>
      <c r="D179">
        <v>429000</v>
      </c>
    </row>
    <row r="180" spans="1:4" x14ac:dyDescent="0.25">
      <c r="A180" t="str">
        <f>T("   720430")</f>
        <v xml:space="preserve">   720430</v>
      </c>
      <c r="B180"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180">
        <v>1705000</v>
      </c>
      <c r="D180">
        <v>34100</v>
      </c>
    </row>
    <row r="181" spans="1:4" x14ac:dyDescent="0.25">
      <c r="A181" t="str">
        <f>T("   720449")</f>
        <v xml:space="preserve">   720449</v>
      </c>
      <c r="B181" t="s">
        <v>64</v>
      </c>
      <c r="C181">
        <v>1500000</v>
      </c>
      <c r="D181">
        <v>10000</v>
      </c>
    </row>
    <row r="182" spans="1:4" x14ac:dyDescent="0.25">
      <c r="A182" t="str">
        <f>T("   721391")</f>
        <v xml:space="preserve">   721391</v>
      </c>
      <c r="B182"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82">
        <v>63444929</v>
      </c>
      <c r="D182">
        <v>99160</v>
      </c>
    </row>
    <row r="183" spans="1:4" x14ac:dyDescent="0.25">
      <c r="A183" t="str">
        <f>T("   721420")</f>
        <v xml:space="preserve">   721420</v>
      </c>
      <c r="B183"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83">
        <v>2078530</v>
      </c>
      <c r="D183">
        <v>2933</v>
      </c>
    </row>
    <row r="184" spans="1:4" x14ac:dyDescent="0.25">
      <c r="A184" t="str">
        <f>T("   732620")</f>
        <v xml:space="preserve">   732620</v>
      </c>
      <c r="B184" t="str">
        <f>T("   Ouvrages en fil de fer ou d'acier, n.d.a.")</f>
        <v xml:space="preserve">   Ouvrages en fil de fer ou d'acier, n.d.a.</v>
      </c>
      <c r="C184">
        <v>63228940</v>
      </c>
      <c r="D184">
        <v>78300</v>
      </c>
    </row>
    <row r="185" spans="1:4" x14ac:dyDescent="0.25">
      <c r="A185" t="str">
        <f>T("   732690")</f>
        <v xml:space="preserve">   732690</v>
      </c>
      <c r="B185"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85">
        <v>22952750</v>
      </c>
      <c r="D185">
        <v>28259</v>
      </c>
    </row>
    <row r="186" spans="1:4" x14ac:dyDescent="0.25">
      <c r="A186" t="str">
        <f>T("   940350")</f>
        <v xml:space="preserve">   940350</v>
      </c>
      <c r="B186" t="str">
        <f>T("   Meubles pour chambres à coucher, en bois (sauf sièges)")</f>
        <v xml:space="preserve">   Meubles pour chambres à coucher, en bois (sauf sièges)</v>
      </c>
      <c r="C186">
        <v>6407418</v>
      </c>
      <c r="D186">
        <v>1200</v>
      </c>
    </row>
    <row r="187" spans="1:4" x14ac:dyDescent="0.25">
      <c r="A187" t="str">
        <f>T("   970300")</f>
        <v xml:space="preserve">   970300</v>
      </c>
      <c r="B187" t="str">
        <f>T("   Productions originales de l'art statuaire ou de la sculpture, en toutes matières")</f>
        <v xml:space="preserve">   Productions originales de l'art statuaire ou de la sculpture, en toutes matières</v>
      </c>
      <c r="C187">
        <v>1631320</v>
      </c>
      <c r="D187">
        <v>190</v>
      </c>
    </row>
    <row r="188" spans="1:4" x14ac:dyDescent="0.25">
      <c r="A188" t="str">
        <f>T("CI")</f>
        <v>CI</v>
      </c>
      <c r="B188" t="str">
        <f>T("Côte d'Ivoire")</f>
        <v>Côte d'Ivoire</v>
      </c>
    </row>
    <row r="189" spans="1:4" x14ac:dyDescent="0.25">
      <c r="A189" t="str">
        <f>T("   ZZ_Total_Produit_SH6")</f>
        <v xml:space="preserve">   ZZ_Total_Produit_SH6</v>
      </c>
      <c r="B189" t="str">
        <f>T("   ZZ_Total_Produit_SH6")</f>
        <v xml:space="preserve">   ZZ_Total_Produit_SH6</v>
      </c>
      <c r="C189">
        <v>6480988584</v>
      </c>
      <c r="D189">
        <v>12394517.65</v>
      </c>
    </row>
    <row r="190" spans="1:4" x14ac:dyDescent="0.25">
      <c r="A190" t="str">
        <f>T("   070810")</f>
        <v xml:space="preserve">   070810</v>
      </c>
      <c r="B190" t="str">
        <f>T("   Pois 'Pisum sativum', écossés ou non, à l'état frais ou réfrigéré")</f>
        <v xml:space="preserve">   Pois 'Pisum sativum', écossés ou non, à l'état frais ou réfrigéré</v>
      </c>
      <c r="C190">
        <v>6580293</v>
      </c>
      <c r="D190">
        <v>22550</v>
      </c>
    </row>
    <row r="191" spans="1:4" x14ac:dyDescent="0.25">
      <c r="A191" t="str">
        <f>T("   071339")</f>
        <v xml:space="preserve">   071339</v>
      </c>
      <c r="B191" t="str">
        <f>T("   Haricots 'Vigna spp., Phaseolus spp.', secs, écossés, même décortiqués ou cassés (à l'excl. des haricots des espèces 'Vigna mungo L. Hepper ou Vigna radiata L. Wilczek', des haricots 'petits rouges' [haricots Adzuki] et des haricots communs)")</f>
        <v xml:space="preserve">   Haricots 'Vigna spp., Phaseolus spp.', secs, écossés, même décortiqués ou cassés (à l'excl. des haricots des espèces 'Vigna mungo L. Hepper ou Vigna radiata L. Wilczek', des haricots 'petits rouges' [haricots Adzuki] et des haricots communs)</v>
      </c>
      <c r="C191">
        <v>400000</v>
      </c>
      <c r="D191">
        <v>90450</v>
      </c>
    </row>
    <row r="192" spans="1:4" x14ac:dyDescent="0.25">
      <c r="A192" t="str">
        <f>T("   121230")</f>
        <v xml:space="preserve">   121230</v>
      </c>
      <c r="B192" t="str">
        <f>T("   Noyaux et amandes d'abricots, de pêches [y.c. des brugnons et nectarines] ou de prunes")</f>
        <v xml:space="preserve">   Noyaux et amandes d'abricots, de pêches [y.c. des brugnons et nectarines] ou de prunes</v>
      </c>
      <c r="C192">
        <v>61856744</v>
      </c>
      <c r="D192">
        <v>518</v>
      </c>
    </row>
    <row r="193" spans="1:4" x14ac:dyDescent="0.25">
      <c r="A193" t="str">
        <f>T("   160413")</f>
        <v xml:space="preserve">   160413</v>
      </c>
      <c r="B193"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193">
        <v>12000000</v>
      </c>
      <c r="D193">
        <v>54400</v>
      </c>
    </row>
    <row r="194" spans="1:4" x14ac:dyDescent="0.25">
      <c r="A194" t="str">
        <f>T("   190590")</f>
        <v xml:space="preserve">   190590</v>
      </c>
      <c r="B194" t="s">
        <v>20</v>
      </c>
      <c r="C194">
        <v>11000000</v>
      </c>
      <c r="D194">
        <v>56000</v>
      </c>
    </row>
    <row r="195" spans="1:4" x14ac:dyDescent="0.25">
      <c r="A195" t="str">
        <f>T("   220429")</f>
        <v xml:space="preserve">   220429</v>
      </c>
      <c r="B195"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195">
        <v>1245600</v>
      </c>
      <c r="D195">
        <v>450</v>
      </c>
    </row>
    <row r="196" spans="1:4" x14ac:dyDescent="0.25">
      <c r="A196" t="str">
        <f>T("   230400")</f>
        <v xml:space="preserve">   230400</v>
      </c>
      <c r="B196"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196">
        <v>1241506970</v>
      </c>
      <c r="D196">
        <v>3557755</v>
      </c>
    </row>
    <row r="197" spans="1:4" x14ac:dyDescent="0.25">
      <c r="A197" t="str">
        <f>T("   230610")</f>
        <v xml:space="preserve">   230610</v>
      </c>
      <c r="B197"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197">
        <v>910071680</v>
      </c>
      <c r="D197">
        <v>6672354</v>
      </c>
    </row>
    <row r="198" spans="1:4" x14ac:dyDescent="0.25">
      <c r="A198" t="str">
        <f>T("   300410")</f>
        <v xml:space="preserve">   300410</v>
      </c>
      <c r="B198" t="s">
        <v>27</v>
      </c>
      <c r="C198">
        <v>91627856</v>
      </c>
      <c r="D198">
        <v>17791.75</v>
      </c>
    </row>
    <row r="199" spans="1:4" x14ac:dyDescent="0.25">
      <c r="A199" t="str">
        <f>T("   320990")</f>
        <v xml:space="preserve">   320990</v>
      </c>
      <c r="B199"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199">
        <v>12234739</v>
      </c>
      <c r="D199">
        <v>18004</v>
      </c>
    </row>
    <row r="200" spans="1:4" x14ac:dyDescent="0.25">
      <c r="A200" t="str">
        <f>T("   350510")</f>
        <v xml:space="preserve">   350510</v>
      </c>
      <c r="B200" t="str">
        <f>T("   DEXTRINE ET AUTRES AMIDONS ET FÉCULES MODIFIÉS [LES AMIDONS ET FÉCULES PRÉ-GÉLATINISÉS OU ESTÉRIFIÉS, P.EX.]")</f>
        <v xml:space="preserve">   DEXTRINE ET AUTRES AMIDONS ET FÉCULES MODIFIÉS [LES AMIDONS ET FÉCULES PRÉ-GÉLATINISÉS OU ESTÉRIFIÉS, P.EX.]</v>
      </c>
      <c r="C200">
        <v>73086158</v>
      </c>
      <c r="D200">
        <v>90773.3</v>
      </c>
    </row>
    <row r="201" spans="1:4" x14ac:dyDescent="0.25">
      <c r="A201" t="str">
        <f>T("   370790")</f>
        <v xml:space="preserve">   370790</v>
      </c>
      <c r="B201" t="s">
        <v>37</v>
      </c>
      <c r="C201">
        <v>6000000</v>
      </c>
      <c r="D201">
        <v>16500</v>
      </c>
    </row>
    <row r="202" spans="1:4" x14ac:dyDescent="0.25">
      <c r="A202" t="str">
        <f>T("   382490")</f>
        <v xml:space="preserve">   382490</v>
      </c>
      <c r="B202"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202">
        <v>1146600</v>
      </c>
      <c r="D202">
        <v>400</v>
      </c>
    </row>
    <row r="203" spans="1:4" x14ac:dyDescent="0.25">
      <c r="A203" t="str">
        <f>T("   391739")</f>
        <v xml:space="preserve">   391739</v>
      </c>
      <c r="B203"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203">
        <v>5000000</v>
      </c>
      <c r="D203">
        <v>27000</v>
      </c>
    </row>
    <row r="204" spans="1:4" x14ac:dyDescent="0.25">
      <c r="A204" t="str">
        <f>T("   490199")</f>
        <v xml:space="preserve">   490199</v>
      </c>
      <c r="B20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204">
        <v>450000</v>
      </c>
      <c r="D204">
        <v>300</v>
      </c>
    </row>
    <row r="205" spans="1:4" x14ac:dyDescent="0.25">
      <c r="A205" t="str">
        <f>T("   490700")</f>
        <v xml:space="preserve">   490700</v>
      </c>
      <c r="B205" t="s">
        <v>49</v>
      </c>
      <c r="C205">
        <v>10100000</v>
      </c>
      <c r="D205">
        <v>4819</v>
      </c>
    </row>
    <row r="206" spans="1:4" x14ac:dyDescent="0.25">
      <c r="A206" t="str">
        <f>T("   520812")</f>
        <v xml:space="preserve">   520812</v>
      </c>
      <c r="B206" t="str">
        <f>T("   Tissus de coton, écrus, à armure toile, contenant &gt;= 85% en poids de coton, d'un poids &gt; 100 g/m² mais &lt;= 200 g/m²")</f>
        <v xml:space="preserve">   Tissus de coton, écrus, à armure toile, contenant &gt;= 85% en poids de coton, d'un poids &gt; 100 g/m² mais &lt;= 200 g/m²</v>
      </c>
      <c r="C206">
        <v>3784281480</v>
      </c>
      <c r="D206">
        <v>1416354</v>
      </c>
    </row>
    <row r="207" spans="1:4" x14ac:dyDescent="0.25">
      <c r="A207" t="str">
        <f>T("   521225")</f>
        <v xml:space="preserve">   521225</v>
      </c>
      <c r="B207" t="str">
        <f>T("   Tissus de coton, imprimés, contenant en prédominance, mais &lt; 85% en poids de coton, autres que mélangés principalement ou uniquement avec des fibres synthétiques ou artificielles, d'un poids &gt; 200 g/m²")</f>
        <v xml:space="preserve">   Tissus de coton, imprimés, contenant en prédominance, mais &lt; 85% en poids de coton, autres que mélangés principalement ou uniquement avec des fibres synthétiques ou artificielles, d'un poids &gt; 200 g/m²</v>
      </c>
      <c r="C207">
        <v>9000000</v>
      </c>
      <c r="D207">
        <v>18450</v>
      </c>
    </row>
    <row r="208" spans="1:4" x14ac:dyDescent="0.25">
      <c r="A208" t="str">
        <f>T("   530390")</f>
        <v xml:space="preserve">   530390</v>
      </c>
      <c r="B208" t="str">
        <f>T("   Jute et autres fibres textiles libériennes, travaillés mais non filés (à l'excl. des produits rouis ainsi que du lin, du chanvre et de la ramie); étoupes et déchets de ces fibres, y.c. les déchets de fils et les effilochés")</f>
        <v xml:space="preserve">   Jute et autres fibres textiles libériennes, travaillés mais non filés (à l'excl. des produits rouis ainsi que du lin, du chanvre et de la ramie); étoupes et déchets de ces fibres, y.c. les déchets de fils et les effilochés</v>
      </c>
      <c r="C208">
        <v>6265699</v>
      </c>
      <c r="D208">
        <v>11297</v>
      </c>
    </row>
    <row r="209" spans="1:4" x14ac:dyDescent="0.25">
      <c r="A209" t="str">
        <f>T("   620590")</f>
        <v xml:space="preserve">   620590</v>
      </c>
      <c r="B20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09">
        <v>3300000</v>
      </c>
      <c r="D209">
        <v>3578</v>
      </c>
    </row>
    <row r="210" spans="1:4" x14ac:dyDescent="0.25">
      <c r="A210" t="str">
        <f>T("   630900")</f>
        <v xml:space="preserve">   630900</v>
      </c>
      <c r="B210" t="s">
        <v>56</v>
      </c>
      <c r="C210">
        <v>12100000</v>
      </c>
      <c r="D210">
        <v>19000</v>
      </c>
    </row>
    <row r="211" spans="1:4" x14ac:dyDescent="0.25">
      <c r="A211" t="str">
        <f>T("   681019")</f>
        <v xml:space="preserve">   681019</v>
      </c>
      <c r="B211"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211">
        <v>10560000</v>
      </c>
      <c r="D211">
        <v>45436</v>
      </c>
    </row>
    <row r="212" spans="1:4" x14ac:dyDescent="0.25">
      <c r="A212" t="str">
        <f>T("   691110")</f>
        <v xml:space="preserve">   691110</v>
      </c>
      <c r="B212" t="s">
        <v>61</v>
      </c>
      <c r="C212">
        <v>1060000</v>
      </c>
      <c r="D212">
        <v>547</v>
      </c>
    </row>
    <row r="213" spans="1:4" x14ac:dyDescent="0.25">
      <c r="A213" t="str">
        <f>T("   730690")</f>
        <v xml:space="preserve">   730690</v>
      </c>
      <c r="B213"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213">
        <v>5000000</v>
      </c>
      <c r="D213">
        <v>10000</v>
      </c>
    </row>
    <row r="214" spans="1:4" x14ac:dyDescent="0.25">
      <c r="A214" t="str">
        <f>T("   731029")</f>
        <v xml:space="preserve">   731029</v>
      </c>
      <c r="B214"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214">
        <v>1000000</v>
      </c>
      <c r="D214">
        <v>415.6</v>
      </c>
    </row>
    <row r="215" spans="1:4" x14ac:dyDescent="0.25">
      <c r="A215" t="str">
        <f>T("   732394")</f>
        <v xml:space="preserve">   732394</v>
      </c>
      <c r="B215" t="s">
        <v>67</v>
      </c>
      <c r="C215">
        <v>2350000</v>
      </c>
      <c r="D215">
        <v>3393</v>
      </c>
    </row>
    <row r="216" spans="1:4" x14ac:dyDescent="0.25">
      <c r="A216" t="str">
        <f>T("   732399")</f>
        <v xml:space="preserve">   732399</v>
      </c>
      <c r="B216" t="s">
        <v>68</v>
      </c>
      <c r="C216">
        <v>1647000</v>
      </c>
      <c r="D216">
        <v>1003</v>
      </c>
    </row>
    <row r="217" spans="1:4" x14ac:dyDescent="0.25">
      <c r="A217" t="str">
        <f>T("   840790")</f>
        <v xml:space="preserve">   840790</v>
      </c>
      <c r="B217" t="s">
        <v>72</v>
      </c>
      <c r="C217">
        <v>426285</v>
      </c>
      <c r="D217">
        <v>250</v>
      </c>
    </row>
    <row r="218" spans="1:4" x14ac:dyDescent="0.25">
      <c r="A218" t="str">
        <f>T("   841370")</f>
        <v xml:space="preserve">   841370</v>
      </c>
      <c r="B218" t="s">
        <v>75</v>
      </c>
      <c r="C218">
        <v>322910</v>
      </c>
      <c r="D218">
        <v>1055</v>
      </c>
    </row>
    <row r="219" spans="1:4" x14ac:dyDescent="0.25">
      <c r="A219" t="str">
        <f>T("   841381")</f>
        <v xml:space="preserve">   841381</v>
      </c>
      <c r="B219" t="s">
        <v>76</v>
      </c>
      <c r="C219">
        <v>159857</v>
      </c>
      <c r="D219">
        <v>50</v>
      </c>
    </row>
    <row r="220" spans="1:4" x14ac:dyDescent="0.25">
      <c r="A220" t="str">
        <f>T("   841440")</f>
        <v xml:space="preserve">   841440</v>
      </c>
      <c r="B220" t="str">
        <f>T("   Compresseurs d'air montés sur châssis à roues et remorquables")</f>
        <v xml:space="preserve">   Compresseurs d'air montés sur châssis à roues et remorquables</v>
      </c>
      <c r="C220">
        <v>266428</v>
      </c>
      <c r="D220">
        <v>150</v>
      </c>
    </row>
    <row r="221" spans="1:4" x14ac:dyDescent="0.25">
      <c r="A221" t="str">
        <f>T("   842940")</f>
        <v xml:space="preserve">   842940</v>
      </c>
      <c r="B221" t="str">
        <f>T("   Rouleaux compresseurs et autres compacteuses, autopropulsés")</f>
        <v xml:space="preserve">   Rouleaux compresseurs et autres compacteuses, autopropulsés</v>
      </c>
      <c r="C221">
        <v>18182420</v>
      </c>
      <c r="D221">
        <v>19053</v>
      </c>
    </row>
    <row r="222" spans="1:4" x14ac:dyDescent="0.25">
      <c r="A222" t="str">
        <f>T("   842959")</f>
        <v xml:space="preserve">   842959</v>
      </c>
      <c r="B222"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222">
        <v>42166370</v>
      </c>
      <c r="D222">
        <v>54600</v>
      </c>
    </row>
    <row r="223" spans="1:4" x14ac:dyDescent="0.25">
      <c r="A223" t="str">
        <f>T("   846150")</f>
        <v xml:space="preserve">   846150</v>
      </c>
      <c r="B223" t="str">
        <f>T("   Machines à scier ou à tronçonner, pour le travail des métaux (autres que l'outillage à main)")</f>
        <v xml:space="preserve">   Machines à scier ou à tronçonner, pour le travail des métaux (autres que l'outillage à main)</v>
      </c>
      <c r="C223">
        <v>196353</v>
      </c>
      <c r="D223">
        <v>40</v>
      </c>
    </row>
    <row r="224" spans="1:4" x14ac:dyDescent="0.25">
      <c r="A224" t="str">
        <f>T("   846190")</f>
        <v xml:space="preserve">   846190</v>
      </c>
      <c r="B224" t="str">
        <f>T("   Machines à raboter et autres machines-outils travaillant par enlèvement de métal, n.d.a.")</f>
        <v xml:space="preserve">   Machines à raboter et autres machines-outils travaillant par enlèvement de métal, n.d.a.</v>
      </c>
      <c r="C224">
        <v>168375</v>
      </c>
      <c r="D224">
        <v>1200</v>
      </c>
    </row>
    <row r="225" spans="1:4" x14ac:dyDescent="0.25">
      <c r="A225" t="str">
        <f>T("   846229")</f>
        <v xml:space="preserve">   846229</v>
      </c>
      <c r="B225" t="str">
        <f>T("   Machines, y.c. -les presses-, à rouler, cintrer, plier, dresser ou planer, pour le travail des métaux (autres qu'à commande numérique)")</f>
        <v xml:space="preserve">   Machines, y.c. -les presses-, à rouler, cintrer, plier, dresser ou planer, pour le travail des métaux (autres qu'à commande numérique)</v>
      </c>
      <c r="C225">
        <v>276780</v>
      </c>
      <c r="D225">
        <v>165</v>
      </c>
    </row>
    <row r="226" spans="1:4" x14ac:dyDescent="0.25">
      <c r="A226" t="str">
        <f>T("   846239")</f>
        <v xml:space="preserve">   846239</v>
      </c>
      <c r="B226" t="str">
        <f>T("   Machines, y.c. -les presses-, à cisailler, pour le travail des métaux (autres que les machines combinées à poinçonner et à cisailler et autres qu'à commande numérique)")</f>
        <v xml:space="preserve">   Machines, y.c. -les presses-, à cisailler, pour le travail des métaux (autres que les machines combinées à poinçonner et à cisailler et autres qu'à commande numérique)</v>
      </c>
      <c r="C226">
        <v>818862</v>
      </c>
      <c r="D226">
        <v>530</v>
      </c>
    </row>
    <row r="227" spans="1:4" x14ac:dyDescent="0.25">
      <c r="A227" t="str">
        <f>T("   846291")</f>
        <v xml:space="preserve">   846291</v>
      </c>
      <c r="B227" t="str">
        <f>T("   Presses hydrauliques pour le travail des métaux ou des carbures métalliques (à l'excl. des presses à forger, à rouler, à cintrer, à dresses ou à planer)")</f>
        <v xml:space="preserve">   Presses hydrauliques pour le travail des métaux ou des carbures métalliques (à l'excl. des presses à forger, à rouler, à cintrer, à dresses ou à planer)</v>
      </c>
      <c r="C227">
        <v>71501</v>
      </c>
      <c r="D227">
        <v>400</v>
      </c>
    </row>
    <row r="228" spans="1:4" x14ac:dyDescent="0.25">
      <c r="A228" t="str">
        <f>T("   846299")</f>
        <v xml:space="preserve">   846299</v>
      </c>
      <c r="B228" t="str">
        <f>T("   Presses autres qu'hydrauliques pour le travail des métaux (à l'excl. des presses à forger, à rouler, à cintrer, dresser ou planer)")</f>
        <v xml:space="preserve">   Presses autres qu'hydrauliques pour le travail des métaux (à l'excl. des presses à forger, à rouler, à cintrer, dresser ou planer)</v>
      </c>
      <c r="C228">
        <v>738080</v>
      </c>
      <c r="D228">
        <v>1800</v>
      </c>
    </row>
    <row r="229" spans="1:4" x14ac:dyDescent="0.25">
      <c r="A229" t="str">
        <f>T("   846592")</f>
        <v xml:space="preserve">   846592</v>
      </c>
      <c r="B229" t="s">
        <v>80</v>
      </c>
      <c r="C229">
        <v>140696</v>
      </c>
      <c r="D229">
        <v>85</v>
      </c>
    </row>
    <row r="230" spans="1:4" x14ac:dyDescent="0.25">
      <c r="A230" t="str">
        <f>T("   846719")</f>
        <v xml:space="preserve">   846719</v>
      </c>
      <c r="B230" t="str">
        <f>T("   OUTILS PNEUMATIQUES, POUR EMPLOI À LA MAIN (À L'EXCL. DES OUTILS ROTATIFS) [01/01/1988-31/12/1994: OUTILS PNEUMATIQUES POUR EMPLOI A LA MAIN, AUTRES QUE ROTATIFS]")</f>
        <v xml:space="preserve">   OUTILS PNEUMATIQUES, POUR EMPLOI À LA MAIN (À L'EXCL. DES OUTILS ROTATIFS) [01/01/1988-31/12/1994: OUTILS PNEUMATIQUES POUR EMPLOI A LA MAIN, AUTRES QUE ROTATIFS]</v>
      </c>
      <c r="C230">
        <v>226470</v>
      </c>
      <c r="D230">
        <v>127</v>
      </c>
    </row>
    <row r="231" spans="1:4" x14ac:dyDescent="0.25">
      <c r="A231" t="str">
        <f>T("   847431")</f>
        <v xml:space="preserve">   847431</v>
      </c>
      <c r="B231"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231">
        <v>2080572</v>
      </c>
      <c r="D231">
        <v>5590</v>
      </c>
    </row>
    <row r="232" spans="1:4" x14ac:dyDescent="0.25">
      <c r="A232" t="str">
        <f>T("   847910")</f>
        <v xml:space="preserve">   847910</v>
      </c>
      <c r="B232" t="str">
        <f>T("   Machines et appareils pour les travaux publics, le bâtiment ou les travaux analogues, n.d.a.")</f>
        <v xml:space="preserve">   Machines et appareils pour les travaux publics, le bâtiment ou les travaux analogues, n.d.a.</v>
      </c>
      <c r="C232">
        <v>50198483</v>
      </c>
      <c r="D232">
        <v>73800</v>
      </c>
    </row>
    <row r="233" spans="1:4" x14ac:dyDescent="0.25">
      <c r="A233" t="str">
        <f>T("   847982")</f>
        <v xml:space="preserve">   847982</v>
      </c>
      <c r="B233"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233">
        <v>1799070</v>
      </c>
      <c r="D233">
        <v>2200</v>
      </c>
    </row>
    <row r="234" spans="1:4" x14ac:dyDescent="0.25">
      <c r="A234" t="str">
        <f>T("   850131")</f>
        <v xml:space="preserve">   850131</v>
      </c>
      <c r="B234" t="str">
        <f>T("   Moteurs à courant continu, puissance &lt;= 750 W mais &gt; 37,5 W et génératrices à courant continu, puissance &lt;= 750 W")</f>
        <v xml:space="preserve">   Moteurs à courant continu, puissance &lt;= 750 W mais &gt; 37,5 W et génératrices à courant continu, puissance &lt;= 750 W</v>
      </c>
      <c r="C234">
        <v>1657822</v>
      </c>
      <c r="D234">
        <v>1700</v>
      </c>
    </row>
    <row r="235" spans="1:4" x14ac:dyDescent="0.25">
      <c r="A235" t="str">
        <f>T("   850132")</f>
        <v xml:space="preserve">   850132</v>
      </c>
      <c r="B235" t="str">
        <f>T("   Moteurs et génératrices à courant continu, puissance &gt; 750 W mais &lt;= 75 kW")</f>
        <v xml:space="preserve">   Moteurs et génératrices à courant continu, puissance &gt; 750 W mais &lt;= 75 kW</v>
      </c>
      <c r="C235">
        <v>799284</v>
      </c>
      <c r="D235">
        <v>800</v>
      </c>
    </row>
    <row r="236" spans="1:4" x14ac:dyDescent="0.25">
      <c r="A236" t="str">
        <f>T("   850212")</f>
        <v xml:space="preserve">   850212</v>
      </c>
      <c r="B236"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236">
        <v>9286001</v>
      </c>
      <c r="D236">
        <v>6700</v>
      </c>
    </row>
    <row r="237" spans="1:4" x14ac:dyDescent="0.25">
      <c r="A237" t="str">
        <f>T("   850220")</f>
        <v xml:space="preserve">   850220</v>
      </c>
      <c r="B237" t="s">
        <v>83</v>
      </c>
      <c r="C237">
        <v>532856</v>
      </c>
      <c r="D237">
        <v>400</v>
      </c>
    </row>
    <row r="238" spans="1:4" x14ac:dyDescent="0.25">
      <c r="A238" t="str">
        <f>T("   870322")</f>
        <v xml:space="preserve">   870322</v>
      </c>
      <c r="B238" t="s">
        <v>87</v>
      </c>
      <c r="C238">
        <v>1866432</v>
      </c>
      <c r="D238">
        <v>1590</v>
      </c>
    </row>
    <row r="239" spans="1:4" x14ac:dyDescent="0.25">
      <c r="A239" t="str">
        <f>T("   870510")</f>
        <v xml:space="preserve">   870510</v>
      </c>
      <c r="B239" t="str">
        <f>T("   Camions-grues (sauf dépanneuses)")</f>
        <v xml:space="preserve">   Camions-grues (sauf dépanneuses)</v>
      </c>
      <c r="C239">
        <v>4151700</v>
      </c>
      <c r="D239">
        <v>23500</v>
      </c>
    </row>
    <row r="240" spans="1:4" x14ac:dyDescent="0.25">
      <c r="A240" t="str">
        <f>T("   870590")</f>
        <v xml:space="preserve">   870590</v>
      </c>
      <c r="B240" t="s">
        <v>97</v>
      </c>
      <c r="C240">
        <v>2500000</v>
      </c>
      <c r="D240">
        <v>9920</v>
      </c>
    </row>
    <row r="241" spans="1:4" x14ac:dyDescent="0.25">
      <c r="A241" t="str">
        <f>T("   871110")</f>
        <v xml:space="preserve">   871110</v>
      </c>
      <c r="B241" t="str">
        <f>T("   Cyclomoteurs, à moteur à piston alternatif, cylindrée &lt;= 50 cm³, y.c. cycles à moteur auxiliaire")</f>
        <v xml:space="preserve">   Cyclomoteurs, à moteur à piston alternatif, cylindrée &lt;= 50 cm³, y.c. cycles à moteur auxiliaire</v>
      </c>
      <c r="C241">
        <v>44820155</v>
      </c>
      <c r="D241">
        <v>14310</v>
      </c>
    </row>
    <row r="242" spans="1:4" x14ac:dyDescent="0.25">
      <c r="A242" t="str">
        <f>T("   902290")</f>
        <v xml:space="preserve">   902290</v>
      </c>
      <c r="B242" t="s">
        <v>100</v>
      </c>
      <c r="C242">
        <v>2750000</v>
      </c>
      <c r="D242">
        <v>195</v>
      </c>
    </row>
    <row r="243" spans="1:4" x14ac:dyDescent="0.25">
      <c r="A243" t="str">
        <f>T("   940350")</f>
        <v xml:space="preserve">   940350</v>
      </c>
      <c r="B243" t="str">
        <f>T("   Meubles pour chambres à coucher, en bois (sauf sièges)")</f>
        <v xml:space="preserve">   Meubles pour chambres à coucher, en bois (sauf sièges)</v>
      </c>
      <c r="C243">
        <v>7600000</v>
      </c>
      <c r="D243">
        <v>9769</v>
      </c>
    </row>
    <row r="244" spans="1:4" x14ac:dyDescent="0.25">
      <c r="A244" t="str">
        <f>T("   940360")</f>
        <v xml:space="preserve">   940360</v>
      </c>
      <c r="B244" t="str">
        <f>T("   Meubles en bois (autres que pour bureaux, cuisines ou chambres à coucher et autres que sièges)")</f>
        <v xml:space="preserve">   Meubles en bois (autres que pour bureaux, cuisines ou chambres à coucher et autres que sièges)</v>
      </c>
      <c r="C244">
        <v>5914003</v>
      </c>
      <c r="D244">
        <v>5000</v>
      </c>
    </row>
    <row r="245" spans="1:4" x14ac:dyDescent="0.25">
      <c r="A245" t="str">
        <f>T("CM")</f>
        <v>CM</v>
      </c>
      <c r="B245" t="str">
        <f>T("Cameroun")</f>
        <v>Cameroun</v>
      </c>
    </row>
    <row r="246" spans="1:4" x14ac:dyDescent="0.25">
      <c r="A246" t="str">
        <f>T("   ZZ_Total_Produit_SH6")</f>
        <v xml:space="preserve">   ZZ_Total_Produit_SH6</v>
      </c>
      <c r="B246" t="str">
        <f>T("   ZZ_Total_Produit_SH6")</f>
        <v xml:space="preserve">   ZZ_Total_Produit_SH6</v>
      </c>
      <c r="C246">
        <v>354652363</v>
      </c>
      <c r="D246">
        <v>150671.43</v>
      </c>
    </row>
    <row r="247" spans="1:4" x14ac:dyDescent="0.25">
      <c r="A247" t="str">
        <f>T("   350510")</f>
        <v xml:space="preserve">   350510</v>
      </c>
      <c r="B247" t="str">
        <f>T("   DEXTRINE ET AUTRES AMIDONS ET FÉCULES MODIFIÉS [LES AMIDONS ET FÉCULES PRÉ-GÉLATINISÉS OU ESTÉRIFIÉS, P.EX.]")</f>
        <v xml:space="preserve">   DEXTRINE ET AUTRES AMIDONS ET FÉCULES MODIFIÉS [LES AMIDONS ET FÉCULES PRÉ-GÉLATINISÉS OU ESTÉRIFIÉS, P.EX.]</v>
      </c>
      <c r="C247">
        <v>6313797</v>
      </c>
      <c r="D247">
        <v>8846.43</v>
      </c>
    </row>
    <row r="248" spans="1:4" x14ac:dyDescent="0.25">
      <c r="A248" t="str">
        <f>T("   391722")</f>
        <v xml:space="preserve">   391722</v>
      </c>
      <c r="B248" t="str">
        <f>T("   TUBES ET TUYAUX RIGIDES, EN POLYMÈRES DU PROPYLÈNE")</f>
        <v xml:space="preserve">   TUBES ET TUYAUX RIGIDES, EN POLYMÈRES DU PROPYLÈNE</v>
      </c>
      <c r="C248">
        <v>22490368</v>
      </c>
      <c r="D248">
        <v>21299</v>
      </c>
    </row>
    <row r="249" spans="1:4" x14ac:dyDescent="0.25">
      <c r="A249" t="str">
        <f>T("   521211")</f>
        <v xml:space="preserve">   521211</v>
      </c>
      <c r="B249" t="str">
        <f>T("   Tissus de coton, écrus, contenant en prédominance, mais &lt; 85% en poids de coton, autres que mélangés principalement ou uniquement avec des fibres synthétiques ou artificielles, d'un poids &lt;= 200 g/m²")</f>
        <v xml:space="preserve">   Tissus de coton, écrus, contenant en prédominance, mais &lt; 85% en poids de coton, autres que mélangés principalement ou uniquement avec des fibres synthétiques ou artificielles, d'un poids &lt;= 200 g/m²</v>
      </c>
      <c r="C249">
        <v>218884108</v>
      </c>
      <c r="D249">
        <v>82416</v>
      </c>
    </row>
    <row r="250" spans="1:4" x14ac:dyDescent="0.25">
      <c r="A250" t="str">
        <f>T("   620590")</f>
        <v xml:space="preserve">   620590</v>
      </c>
      <c r="B25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50">
        <v>600000</v>
      </c>
      <c r="D250">
        <v>400</v>
      </c>
    </row>
    <row r="251" spans="1:4" x14ac:dyDescent="0.25">
      <c r="A251" t="str">
        <f>T("   732394")</f>
        <v xml:space="preserve">   732394</v>
      </c>
      <c r="B251" t="s">
        <v>67</v>
      </c>
      <c r="C251">
        <v>200000</v>
      </c>
      <c r="D251">
        <v>300</v>
      </c>
    </row>
    <row r="252" spans="1:4" x14ac:dyDescent="0.25">
      <c r="A252" t="str">
        <f>T("   841319")</f>
        <v xml:space="preserve">   841319</v>
      </c>
      <c r="B252"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252">
        <v>2489480</v>
      </c>
      <c r="D252">
        <v>680</v>
      </c>
    </row>
    <row r="253" spans="1:4" x14ac:dyDescent="0.25">
      <c r="A253" t="str">
        <f>T("   841829")</f>
        <v xml:space="preserve">   841829</v>
      </c>
      <c r="B253" t="str">
        <f>T("   Réfrigérateurs ménagers à absorption, non-électriques")</f>
        <v xml:space="preserve">   Réfrigérateurs ménagers à absorption, non-électriques</v>
      </c>
      <c r="C253">
        <v>1000000</v>
      </c>
      <c r="D253">
        <v>3180</v>
      </c>
    </row>
    <row r="254" spans="1:4" x14ac:dyDescent="0.25">
      <c r="A254" t="str">
        <f>T("   870290")</f>
        <v xml:space="preserve">   870290</v>
      </c>
      <c r="B254" t="s">
        <v>86</v>
      </c>
      <c r="C254">
        <v>4000000</v>
      </c>
      <c r="D254">
        <v>6200</v>
      </c>
    </row>
    <row r="255" spans="1:4" x14ac:dyDescent="0.25">
      <c r="A255" t="str">
        <f>T("   870322")</f>
        <v xml:space="preserve">   870322</v>
      </c>
      <c r="B255" t="s">
        <v>87</v>
      </c>
      <c r="C255">
        <v>3000000</v>
      </c>
      <c r="D255">
        <v>3500</v>
      </c>
    </row>
    <row r="256" spans="1:4" x14ac:dyDescent="0.25">
      <c r="A256" t="str">
        <f>T("   870323")</f>
        <v xml:space="preserve">   870323</v>
      </c>
      <c r="B256" t="s">
        <v>88</v>
      </c>
      <c r="C256">
        <v>37834540</v>
      </c>
      <c r="D256">
        <v>11360</v>
      </c>
    </row>
    <row r="257" spans="1:4" x14ac:dyDescent="0.25">
      <c r="A257" t="str">
        <f>T("   870331")</f>
        <v xml:space="preserve">   870331</v>
      </c>
      <c r="B257" t="s">
        <v>90</v>
      </c>
      <c r="C257">
        <v>4067200</v>
      </c>
      <c r="D257">
        <v>1200</v>
      </c>
    </row>
    <row r="258" spans="1:4" x14ac:dyDescent="0.25">
      <c r="A258" t="str">
        <f>T("   870332")</f>
        <v xml:space="preserve">   870332</v>
      </c>
      <c r="B258" t="s">
        <v>91</v>
      </c>
      <c r="C258">
        <v>22668236</v>
      </c>
      <c r="D258">
        <v>2750</v>
      </c>
    </row>
    <row r="259" spans="1:4" x14ac:dyDescent="0.25">
      <c r="A259" t="str">
        <f>T("   940169")</f>
        <v xml:space="preserve">   940169</v>
      </c>
      <c r="B259" t="str">
        <f>T("   Sièges, avec bâti en bois, non rembourrés")</f>
        <v xml:space="preserve">   Sièges, avec bâti en bois, non rembourrés</v>
      </c>
      <c r="C259">
        <v>1135000</v>
      </c>
      <c r="D259">
        <v>1500</v>
      </c>
    </row>
    <row r="260" spans="1:4" x14ac:dyDescent="0.25">
      <c r="A260" t="str">
        <f>T("   940350")</f>
        <v xml:space="preserve">   940350</v>
      </c>
      <c r="B260" t="str">
        <f>T("   Meubles pour chambres à coucher, en bois (sauf sièges)")</f>
        <v xml:space="preserve">   Meubles pour chambres à coucher, en bois (sauf sièges)</v>
      </c>
      <c r="C260">
        <v>8212000</v>
      </c>
      <c r="D260">
        <v>2400</v>
      </c>
    </row>
    <row r="261" spans="1:4" x14ac:dyDescent="0.25">
      <c r="A261" t="str">
        <f>T("   940360")</f>
        <v xml:space="preserve">   940360</v>
      </c>
      <c r="B261" t="str">
        <f>T("   Meubles en bois (autres que pour bureaux, cuisines ou chambres à coucher et autres que sièges)")</f>
        <v xml:space="preserve">   Meubles en bois (autres que pour bureaux, cuisines ou chambres à coucher et autres que sièges)</v>
      </c>
      <c r="C261">
        <v>1698400</v>
      </c>
      <c r="D261">
        <v>2300</v>
      </c>
    </row>
    <row r="262" spans="1:4" x14ac:dyDescent="0.25">
      <c r="A262" t="str">
        <f>T("   940389")</f>
        <v xml:space="preserve">   940389</v>
      </c>
      <c r="B262"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262">
        <v>20059234</v>
      </c>
      <c r="D262">
        <v>2340</v>
      </c>
    </row>
    <row r="263" spans="1:4" x14ac:dyDescent="0.25">
      <c r="A263" t="str">
        <f>T("CN")</f>
        <v>CN</v>
      </c>
      <c r="B263" t="str">
        <f>T("Chine")</f>
        <v>Chine</v>
      </c>
    </row>
    <row r="264" spans="1:4" x14ac:dyDescent="0.25">
      <c r="A264" t="str">
        <f>T("   ZZ_Total_Produit_SH6")</f>
        <v xml:space="preserve">   ZZ_Total_Produit_SH6</v>
      </c>
      <c r="B264" t="str">
        <f>T("   ZZ_Total_Produit_SH6")</f>
        <v xml:space="preserve">   ZZ_Total_Produit_SH6</v>
      </c>
      <c r="C264">
        <v>50089618047</v>
      </c>
      <c r="D264">
        <v>179947926</v>
      </c>
    </row>
    <row r="265" spans="1:4" x14ac:dyDescent="0.25">
      <c r="A265" t="str">
        <f>T("   080131")</f>
        <v xml:space="preserve">   080131</v>
      </c>
      <c r="B265" t="str">
        <f>T("   Noix de cajou, fraîches ou sèches, en coques")</f>
        <v xml:space="preserve">   Noix de cajou, fraîches ou sèches, en coques</v>
      </c>
      <c r="C265">
        <v>457253200</v>
      </c>
      <c r="D265">
        <v>2178369</v>
      </c>
    </row>
    <row r="266" spans="1:4" x14ac:dyDescent="0.25">
      <c r="A266" t="str">
        <f>T("   080132")</f>
        <v xml:space="preserve">   080132</v>
      </c>
      <c r="B266" t="str">
        <f>T("   Noix de cajou, fraîches ou sèches, sans coques")</f>
        <v xml:space="preserve">   Noix de cajou, fraîches ou sèches, sans coques</v>
      </c>
      <c r="C266">
        <v>24000000</v>
      </c>
      <c r="D266">
        <v>120000</v>
      </c>
    </row>
    <row r="267" spans="1:4" x14ac:dyDescent="0.25">
      <c r="A267" t="str">
        <f>T("   120740")</f>
        <v xml:space="preserve">   120740</v>
      </c>
      <c r="B267" t="str">
        <f>T("   Graines de sésame, même concassées")</f>
        <v xml:space="preserve">   Graines de sésame, même concassées</v>
      </c>
      <c r="C267">
        <v>206218600</v>
      </c>
      <c r="D267">
        <v>1020342</v>
      </c>
    </row>
    <row r="268" spans="1:4" x14ac:dyDescent="0.25">
      <c r="A268" t="str">
        <f>T("   130120")</f>
        <v xml:space="preserve">   130120</v>
      </c>
      <c r="B268" t="str">
        <f>T("   Gomme arabique")</f>
        <v xml:space="preserve">   Gomme arabique</v>
      </c>
      <c r="C268">
        <v>1400000</v>
      </c>
      <c r="D268">
        <v>22000</v>
      </c>
    </row>
    <row r="269" spans="1:4" x14ac:dyDescent="0.25">
      <c r="A269" t="str">
        <f>T("   140420")</f>
        <v xml:space="preserve">   140420</v>
      </c>
      <c r="B269" t="str">
        <f>T("   Linters de coton")</f>
        <v xml:space="preserve">   Linters de coton</v>
      </c>
      <c r="C269">
        <v>356312007</v>
      </c>
      <c r="D269">
        <v>1980000</v>
      </c>
    </row>
    <row r="270" spans="1:4" x14ac:dyDescent="0.25">
      <c r="A270" t="str">
        <f>T("   160413")</f>
        <v xml:space="preserve">   160413</v>
      </c>
      <c r="B270"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270">
        <v>8000088</v>
      </c>
      <c r="D270">
        <v>23200</v>
      </c>
    </row>
    <row r="271" spans="1:4" x14ac:dyDescent="0.25">
      <c r="A271" t="str">
        <f>T("   230610")</f>
        <v xml:space="preserve">   230610</v>
      </c>
      <c r="B271"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271">
        <v>2250000</v>
      </c>
      <c r="D271">
        <v>15000</v>
      </c>
    </row>
    <row r="272" spans="1:4" x14ac:dyDescent="0.25">
      <c r="A272" t="str">
        <f>T("   283650")</f>
        <v xml:space="preserve">   283650</v>
      </c>
      <c r="B272" t="str">
        <f>T("   Carbonate de calcium")</f>
        <v xml:space="preserve">   Carbonate de calcium</v>
      </c>
      <c r="C272">
        <v>18955092</v>
      </c>
      <c r="D272">
        <v>81600</v>
      </c>
    </row>
    <row r="273" spans="1:4" x14ac:dyDescent="0.25">
      <c r="A273" t="str">
        <f>T("   440399")</f>
        <v xml:space="preserve">   440399</v>
      </c>
      <c r="B273" t="s">
        <v>46</v>
      </c>
      <c r="C273">
        <v>2714096000</v>
      </c>
      <c r="D273">
        <v>53705140</v>
      </c>
    </row>
    <row r="274" spans="1:4" x14ac:dyDescent="0.25">
      <c r="A274" t="str">
        <f>T("   440500")</f>
        <v xml:space="preserve">   440500</v>
      </c>
      <c r="B274" t="str">
        <f>T("   Laine [paille] de bois; farine de bois, c'est-à-dire la poudre de bois passant, avec au maximum 8% en poids de déchets, au tamis ayant une ouverture de mailles de 0,63 mm")</f>
        <v xml:space="preserve">   Laine [paille] de bois; farine de bois, c'est-à-dire la poudre de bois passant, avec au maximum 8% en poids de déchets, au tamis ayant une ouverture de mailles de 0,63 mm</v>
      </c>
      <c r="C274">
        <v>1000000</v>
      </c>
      <c r="D274">
        <v>20000</v>
      </c>
    </row>
    <row r="275" spans="1:4" x14ac:dyDescent="0.25">
      <c r="A275" t="str">
        <f>T("   440690")</f>
        <v xml:space="preserve">   440690</v>
      </c>
      <c r="B275" t="str">
        <f>T("   Traverses en bois, pour voies ferrées ou simil., imprégnées")</f>
        <v xml:space="preserve">   Traverses en bois, pour voies ferrées ou simil., imprégnées</v>
      </c>
      <c r="C275">
        <v>1089632000</v>
      </c>
      <c r="D275">
        <v>20794770</v>
      </c>
    </row>
    <row r="276" spans="1:4" x14ac:dyDescent="0.25">
      <c r="A276" t="str">
        <f>T("   440729")</f>
        <v xml:space="preserve">   440729</v>
      </c>
      <c r="B276" t="s">
        <v>47</v>
      </c>
      <c r="C276">
        <v>633075850</v>
      </c>
      <c r="D276">
        <v>6013030</v>
      </c>
    </row>
    <row r="277" spans="1:4" x14ac:dyDescent="0.25">
      <c r="A277" t="str">
        <f>T("   440799")</f>
        <v xml:space="preserve">   440799</v>
      </c>
      <c r="B277" t="s">
        <v>48</v>
      </c>
      <c r="C277">
        <v>204500000</v>
      </c>
      <c r="D277">
        <v>730000</v>
      </c>
    </row>
    <row r="278" spans="1:4" x14ac:dyDescent="0.25">
      <c r="A278" t="str">
        <f>T("   442190")</f>
        <v xml:space="preserve">   442190</v>
      </c>
      <c r="B278" t="str">
        <f>T("   Ouvrages, en bois, n.d.a.")</f>
        <v xml:space="preserve">   Ouvrages, en bois, n.d.a.</v>
      </c>
      <c r="C278">
        <v>2693425</v>
      </c>
      <c r="D278">
        <v>30060</v>
      </c>
    </row>
    <row r="279" spans="1:4" x14ac:dyDescent="0.25">
      <c r="A279" t="str">
        <f>T("   520100")</f>
        <v xml:space="preserve">   520100</v>
      </c>
      <c r="B279" t="str">
        <f>T("   COTON, NON-CARDÉ NI PEIGNÉ")</f>
        <v xml:space="preserve">   COTON, NON-CARDÉ NI PEIGNÉ</v>
      </c>
      <c r="C279">
        <v>41317141914</v>
      </c>
      <c r="D279">
        <v>48114269</v>
      </c>
    </row>
    <row r="280" spans="1:4" x14ac:dyDescent="0.25">
      <c r="A280" t="str">
        <f>T("   520512")</f>
        <v xml:space="preserve">   520512</v>
      </c>
      <c r="B280" t="s">
        <v>50</v>
      </c>
      <c r="C280">
        <v>639187100</v>
      </c>
      <c r="D280">
        <v>401000</v>
      </c>
    </row>
    <row r="281" spans="1:4" x14ac:dyDescent="0.25">
      <c r="A281" t="str">
        <f>T("   720410")</f>
        <v xml:space="preserve">   720410</v>
      </c>
      <c r="B281" t="str">
        <f>T("   DÉCHETS ET DÉBRIS DE FONTE -FERRAILLES- (AUTRES QUE RADIOACTIFS)")</f>
        <v xml:space="preserve">   DÉCHETS ET DÉBRIS DE FONTE -FERRAILLES- (AUTRES QUE RADIOACTIFS)</v>
      </c>
      <c r="C281">
        <v>500000</v>
      </c>
      <c r="D281">
        <v>10000</v>
      </c>
    </row>
    <row r="282" spans="1:4" x14ac:dyDescent="0.25">
      <c r="A282" t="str">
        <f>T("   720429")</f>
        <v xml:space="preserve">   720429</v>
      </c>
      <c r="B282"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282">
        <v>921300000</v>
      </c>
      <c r="D282">
        <v>18424000</v>
      </c>
    </row>
    <row r="283" spans="1:4" x14ac:dyDescent="0.25">
      <c r="A283" t="str">
        <f>T("   720430")</f>
        <v xml:space="preserve">   720430</v>
      </c>
      <c r="B283"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283">
        <v>849550000</v>
      </c>
      <c r="D283">
        <v>16931000</v>
      </c>
    </row>
    <row r="284" spans="1:4" x14ac:dyDescent="0.25">
      <c r="A284" t="str">
        <f>T("   720449")</f>
        <v xml:space="preserve">   720449</v>
      </c>
      <c r="B284" t="s">
        <v>64</v>
      </c>
      <c r="C284">
        <v>481000000</v>
      </c>
      <c r="D284">
        <v>9180000</v>
      </c>
    </row>
    <row r="285" spans="1:4" x14ac:dyDescent="0.25">
      <c r="A285" t="str">
        <f>T("   760200")</f>
        <v xml:space="preserve">   760200</v>
      </c>
      <c r="B285" t="s">
        <v>70</v>
      </c>
      <c r="C285">
        <v>1500000</v>
      </c>
      <c r="D285">
        <v>30000</v>
      </c>
    </row>
    <row r="286" spans="1:4" x14ac:dyDescent="0.25">
      <c r="A286" t="str">
        <f>T("   761090")</f>
        <v xml:space="preserve">   761090</v>
      </c>
      <c r="B286"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286">
        <v>710000</v>
      </c>
      <c r="D286">
        <v>2000</v>
      </c>
    </row>
    <row r="287" spans="1:4" x14ac:dyDescent="0.25">
      <c r="A287" t="str">
        <f>T("   820559")</f>
        <v xml:space="preserve">   820559</v>
      </c>
      <c r="B287" t="str">
        <f>T("   Outils à main, y.c. -les diamants de vitrier-, en métaux communs, n.d.a.")</f>
        <v xml:space="preserve">   Outils à main, y.c. -les diamants de vitrier-, en métaux communs, n.d.a.</v>
      </c>
      <c r="C287">
        <v>15080520</v>
      </c>
      <c r="D287">
        <v>6685</v>
      </c>
    </row>
    <row r="288" spans="1:4" x14ac:dyDescent="0.25">
      <c r="A288" t="str">
        <f>T("   841381")</f>
        <v xml:space="preserve">   841381</v>
      </c>
      <c r="B288" t="s">
        <v>76</v>
      </c>
      <c r="C288">
        <v>1916770</v>
      </c>
      <c r="D288">
        <v>1693</v>
      </c>
    </row>
    <row r="289" spans="1:4" x14ac:dyDescent="0.25">
      <c r="A289" t="str">
        <f>T("   842919")</f>
        <v xml:space="preserve">   842919</v>
      </c>
      <c r="B289" t="str">
        <f>T("   Bouteurs 'bulldozers' et bouteurs biais 'angledozers', sur roues")</f>
        <v xml:space="preserve">   Bouteurs 'bulldozers' et bouteurs biais 'angledozers', sur roues</v>
      </c>
      <c r="C289">
        <v>24724528</v>
      </c>
      <c r="D289">
        <v>23000</v>
      </c>
    </row>
    <row r="290" spans="1:4" x14ac:dyDescent="0.25">
      <c r="A290" t="str">
        <f>T("   842920")</f>
        <v xml:space="preserve">   842920</v>
      </c>
      <c r="B290" t="str">
        <f>T("   Niveleuses autopropulsées")</f>
        <v xml:space="preserve">   Niveleuses autopropulsées</v>
      </c>
      <c r="C290">
        <v>16539866</v>
      </c>
      <c r="D290">
        <v>15400</v>
      </c>
    </row>
    <row r="291" spans="1:4" x14ac:dyDescent="0.25">
      <c r="A291" t="str">
        <f>T("   843139")</f>
        <v xml:space="preserve">   843139</v>
      </c>
      <c r="B291" t="str">
        <f>T("   Parties de machines et appareils du n° 8428, n.d.a.")</f>
        <v xml:space="preserve">   Parties de machines et appareils du n° 8428, n.d.a.</v>
      </c>
      <c r="C291">
        <v>4335473</v>
      </c>
      <c r="D291">
        <v>3830</v>
      </c>
    </row>
    <row r="292" spans="1:4" x14ac:dyDescent="0.25">
      <c r="A292" t="str">
        <f>T("   843143")</f>
        <v xml:space="preserve">   843143</v>
      </c>
      <c r="B292" t="str">
        <f>T("   Parties de machines de sondage ou de forage du n° 8430.41 ou 8430.49, n.d.a.")</f>
        <v xml:space="preserve">   Parties de machines de sondage ou de forage du n° 8430.41 ou 8430.49, n.d.a.</v>
      </c>
      <c r="C292">
        <v>40889661</v>
      </c>
      <c r="D292">
        <v>24100</v>
      </c>
    </row>
    <row r="293" spans="1:4" x14ac:dyDescent="0.25">
      <c r="A293" t="str">
        <f>T("   843149")</f>
        <v xml:space="preserve">   843149</v>
      </c>
      <c r="B293" t="str">
        <f>T("   Parties de machines et appareils du n° 8426, 8429 ou 8430, n.d.a.")</f>
        <v xml:space="preserve">   Parties de machines et appareils du n° 8426, 8429 ou 8430, n.d.a.</v>
      </c>
      <c r="C293">
        <v>6971484</v>
      </c>
      <c r="D293">
        <v>590</v>
      </c>
    </row>
    <row r="294" spans="1:4" x14ac:dyDescent="0.25">
      <c r="A294" t="str">
        <f>T("   847982")</f>
        <v xml:space="preserve">   847982</v>
      </c>
      <c r="B294"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294">
        <v>15957316</v>
      </c>
      <c r="D294">
        <v>13900</v>
      </c>
    </row>
    <row r="295" spans="1:4" x14ac:dyDescent="0.25">
      <c r="A295" t="str">
        <f>T("   847990")</f>
        <v xml:space="preserve">   847990</v>
      </c>
      <c r="B295" t="str">
        <f>T("   Parties de machines et appareils, y.c. les appareils mécaniques, n.d.a.")</f>
        <v xml:space="preserve">   Parties de machines et appareils, y.c. les appareils mécaniques, n.d.a.</v>
      </c>
      <c r="C295">
        <v>4301746</v>
      </c>
      <c r="D295">
        <v>890</v>
      </c>
    </row>
    <row r="296" spans="1:4" x14ac:dyDescent="0.25">
      <c r="A296" t="str">
        <f>T("   854451")</f>
        <v xml:space="preserve">   854451</v>
      </c>
      <c r="B296" t="str">
        <f>T("   Conducteurs électriques, pour tension &gt; 80 V mais &lt;= 1.000 V, avec pièces de connexion, n.d.a.")</f>
        <v xml:space="preserve">   Conducteurs électriques, pour tension &gt; 80 V mais &lt;= 1.000 V, avec pièces de connexion, n.d.a.</v>
      </c>
      <c r="C296">
        <v>406426</v>
      </c>
      <c r="D296">
        <v>223</v>
      </c>
    </row>
    <row r="297" spans="1:4" x14ac:dyDescent="0.25">
      <c r="A297" t="str">
        <f>T("   870421")</f>
        <v xml:space="preserve">   870421</v>
      </c>
      <c r="B297" t="s">
        <v>93</v>
      </c>
      <c r="C297">
        <v>16838240</v>
      </c>
      <c r="D297">
        <v>4000</v>
      </c>
    </row>
    <row r="298" spans="1:4" x14ac:dyDescent="0.25">
      <c r="A298" t="str">
        <f>T("   871120")</f>
        <v xml:space="preserve">   871120</v>
      </c>
      <c r="B298" t="str">
        <f>T("   Motocycles à moteur à piston alternatif, cylindrée &gt; 50 cm³ mais &lt;= 250 cm³")</f>
        <v xml:space="preserve">   Motocycles à moteur à piston alternatif, cylindrée &gt; 50 cm³ mais &lt;= 250 cm³</v>
      </c>
      <c r="C298">
        <v>970000</v>
      </c>
      <c r="D298">
        <v>23220</v>
      </c>
    </row>
    <row r="299" spans="1:4" x14ac:dyDescent="0.25">
      <c r="A299" t="str">
        <f>T("   940320")</f>
        <v xml:space="preserve">   940320</v>
      </c>
      <c r="B299"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299">
        <v>10410741</v>
      </c>
      <c r="D299">
        <v>4615</v>
      </c>
    </row>
    <row r="300" spans="1:4" x14ac:dyDescent="0.25">
      <c r="A300" t="str">
        <f>T("CO")</f>
        <v>CO</v>
      </c>
      <c r="B300" t="str">
        <f>T("Colombie")</f>
        <v>Colombie</v>
      </c>
    </row>
    <row r="301" spans="1:4" x14ac:dyDescent="0.25">
      <c r="A301" t="str">
        <f>T("   ZZ_Total_Produit_SH6")</f>
        <v xml:space="preserve">   ZZ_Total_Produit_SH6</v>
      </c>
      <c r="B301" t="str">
        <f>T("   ZZ_Total_Produit_SH6")</f>
        <v xml:space="preserve">   ZZ_Total_Produit_SH6</v>
      </c>
      <c r="C301">
        <v>6120000</v>
      </c>
      <c r="D301">
        <v>10094.870000000001</v>
      </c>
    </row>
    <row r="302" spans="1:4" x14ac:dyDescent="0.25">
      <c r="A302" t="str">
        <f>T("   121230")</f>
        <v xml:space="preserve">   121230</v>
      </c>
      <c r="B302" t="str">
        <f>T("   Noyaux et amandes d'abricots, de pêches [y.c. des brugnons et nectarines] ou de prunes")</f>
        <v xml:space="preserve">   Noyaux et amandes d'abricots, de pêches [y.c. des brugnons et nectarines] ou de prunes</v>
      </c>
      <c r="C302">
        <v>120000</v>
      </c>
      <c r="D302">
        <v>94.87</v>
      </c>
    </row>
    <row r="303" spans="1:4" x14ac:dyDescent="0.25">
      <c r="A303" t="str">
        <f>T("   620590")</f>
        <v xml:space="preserve">   620590</v>
      </c>
      <c r="B30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03">
        <v>6000000</v>
      </c>
      <c r="D303">
        <v>10000</v>
      </c>
    </row>
    <row r="304" spans="1:4" x14ac:dyDescent="0.25">
      <c r="A304" t="str">
        <f>T("DE")</f>
        <v>DE</v>
      </c>
      <c r="B304" t="str">
        <f>T("Allemagne")</f>
        <v>Allemagne</v>
      </c>
    </row>
    <row r="305" spans="1:4" x14ac:dyDescent="0.25">
      <c r="A305" t="str">
        <f>T("   ZZ_Total_Produit_SH6")</f>
        <v xml:space="preserve">   ZZ_Total_Produit_SH6</v>
      </c>
      <c r="B305" t="str">
        <f>T("   ZZ_Total_Produit_SH6")</f>
        <v xml:space="preserve">   ZZ_Total_Produit_SH6</v>
      </c>
      <c r="C305">
        <v>67483022</v>
      </c>
      <c r="D305">
        <v>103519.6</v>
      </c>
    </row>
    <row r="306" spans="1:4" x14ac:dyDescent="0.25">
      <c r="A306" t="str">
        <f>T("   121230")</f>
        <v xml:space="preserve">   121230</v>
      </c>
      <c r="B306" t="str">
        <f>T("   Noyaux et amandes d'abricots, de pêches [y.c. des brugnons et nectarines] ou de prunes")</f>
        <v xml:space="preserve">   Noyaux et amandes d'abricots, de pêches [y.c. des brugnons et nectarines] ou de prunes</v>
      </c>
      <c r="C306">
        <v>47215785</v>
      </c>
      <c r="D306">
        <v>546</v>
      </c>
    </row>
    <row r="307" spans="1:4" x14ac:dyDescent="0.25">
      <c r="A307" t="str">
        <f>T("   230610")</f>
        <v xml:space="preserve">   230610</v>
      </c>
      <c r="B307"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307">
        <v>799600</v>
      </c>
      <c r="D307">
        <v>39980</v>
      </c>
    </row>
    <row r="308" spans="1:4" x14ac:dyDescent="0.25">
      <c r="A308" t="str">
        <f>T("   392640")</f>
        <v xml:space="preserve">   392640</v>
      </c>
      <c r="B308" t="str">
        <f>T("   Statuettes et autres objets d'ornementation, en matières plastiques")</f>
        <v xml:space="preserve">   Statuettes et autres objets d'ornementation, en matières plastiques</v>
      </c>
      <c r="C308">
        <v>1200000</v>
      </c>
      <c r="D308">
        <v>2810</v>
      </c>
    </row>
    <row r="309" spans="1:4" x14ac:dyDescent="0.25">
      <c r="A309" t="str">
        <f>T("   620590")</f>
        <v xml:space="preserve">   620590</v>
      </c>
      <c r="B30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09">
        <v>900000</v>
      </c>
      <c r="D309">
        <v>600</v>
      </c>
    </row>
    <row r="310" spans="1:4" x14ac:dyDescent="0.25">
      <c r="A310" t="str">
        <f>T("   621040")</f>
        <v xml:space="preserve">   621040</v>
      </c>
      <c r="B310" t="s">
        <v>52</v>
      </c>
      <c r="C310">
        <v>800000</v>
      </c>
      <c r="D310">
        <v>600</v>
      </c>
    </row>
    <row r="311" spans="1:4" x14ac:dyDescent="0.25">
      <c r="A311" t="str">
        <f>T("   732394")</f>
        <v xml:space="preserve">   732394</v>
      </c>
      <c r="B311" t="s">
        <v>67</v>
      </c>
      <c r="C311">
        <v>600000</v>
      </c>
      <c r="D311">
        <v>400</v>
      </c>
    </row>
    <row r="312" spans="1:4" x14ac:dyDescent="0.25">
      <c r="A312" t="str">
        <f>T("   740400")</f>
        <v xml:space="preserve">   740400</v>
      </c>
      <c r="B312" t="str">
        <f>T("   Déchets et débris de cuivre (à l'excl. des déchets lingotés ou formes brutes simil., en déchets et débris de cuivre fondus, et sauf cendres et résidus contenant du cuivre et déchets et débris de piles, batteries et accumulateurs électriques)")</f>
        <v xml:space="preserve">   Déchets et débris de cuivre (à l'excl. des déchets lingotés ou formes brutes simil., en déchets et débris de cuivre fondus, et sauf cendres et résidus contenant du cuivre et déchets et débris de piles, batteries et accumulateurs électriques)</v>
      </c>
      <c r="C312">
        <v>4098875</v>
      </c>
      <c r="D312">
        <v>44791</v>
      </c>
    </row>
    <row r="313" spans="1:4" x14ac:dyDescent="0.25">
      <c r="A313" t="str">
        <f>T("   843149")</f>
        <v xml:space="preserve">   843149</v>
      </c>
      <c r="B313" t="str">
        <f>T("   Parties de machines et appareils du n° 8426, 8429 ou 8430, n.d.a.")</f>
        <v xml:space="preserve">   Parties de machines et appareils du n° 8426, 8429 ou 8430, n.d.a.</v>
      </c>
      <c r="C313">
        <v>525123</v>
      </c>
      <c r="D313">
        <v>54.6</v>
      </c>
    </row>
    <row r="314" spans="1:4" x14ac:dyDescent="0.25">
      <c r="A314" t="str">
        <f>T("   847350")</f>
        <v xml:space="preserve">   847350</v>
      </c>
      <c r="B314" t="str">
        <f>T("   Parties et accessoires qui peuvent être utilisés indifféremment avec les machines ou appareils de plusieurs du n° 8469 à 8472, n.d.a.")</f>
        <v xml:space="preserve">   Parties et accessoires qui peuvent être utilisés indifféremment avec les machines ou appareils de plusieurs du n° 8469 à 8472, n.d.a.</v>
      </c>
      <c r="C314">
        <v>3608760</v>
      </c>
      <c r="D314">
        <v>9860</v>
      </c>
    </row>
    <row r="315" spans="1:4" x14ac:dyDescent="0.25">
      <c r="A315" t="str">
        <f>T("   852691")</f>
        <v xml:space="preserve">   852691</v>
      </c>
      <c r="B315" t="str">
        <f>T("   Appareils de radionavigation")</f>
        <v xml:space="preserve">   Appareils de radionavigation</v>
      </c>
      <c r="C315">
        <v>327980</v>
      </c>
      <c r="D315">
        <v>16</v>
      </c>
    </row>
    <row r="316" spans="1:4" x14ac:dyDescent="0.25">
      <c r="A316" t="str">
        <f>T("   852910")</f>
        <v xml:space="preserve">   852910</v>
      </c>
      <c r="B316"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316">
        <v>4046899</v>
      </c>
      <c r="D316">
        <v>12</v>
      </c>
    </row>
    <row r="317" spans="1:4" x14ac:dyDescent="0.25">
      <c r="A317" t="str">
        <f>T("   870322")</f>
        <v xml:space="preserve">   870322</v>
      </c>
      <c r="B317" t="s">
        <v>87</v>
      </c>
      <c r="C317">
        <v>1300000</v>
      </c>
      <c r="D317">
        <v>1600</v>
      </c>
    </row>
    <row r="318" spans="1:4" x14ac:dyDescent="0.25">
      <c r="A318" t="str">
        <f>T("   940350")</f>
        <v xml:space="preserve">   940350</v>
      </c>
      <c r="B318" t="str">
        <f>T("   Meubles pour chambres à coucher, en bois (sauf sièges)")</f>
        <v xml:space="preserve">   Meubles pour chambres à coucher, en bois (sauf sièges)</v>
      </c>
      <c r="C318">
        <v>2000000</v>
      </c>
      <c r="D318">
        <v>2200</v>
      </c>
    </row>
    <row r="319" spans="1:4" x14ac:dyDescent="0.25">
      <c r="A319" t="str">
        <f>T("   970500")</f>
        <v xml:space="preserve">   970500</v>
      </c>
      <c r="B319" t="str">
        <f>T("   Collections et spécimens pour collections de zoologie, de botanique, de minéralogie, d'anatomie, ou présentant un intérêt historique, archéologique, paléontologique, ethnographique ou numismatique")</f>
        <v xml:space="preserve">   Collections et spécimens pour collections de zoologie, de botanique, de minéralogie, d'anatomie, ou présentant un intérêt historique, archéologique, paléontologique, ethnographique ou numismatique</v>
      </c>
      <c r="C319">
        <v>60000</v>
      </c>
      <c r="D319">
        <v>50</v>
      </c>
    </row>
    <row r="320" spans="1:4" x14ac:dyDescent="0.25">
      <c r="A320" t="str">
        <f>T("DK")</f>
        <v>DK</v>
      </c>
      <c r="B320" t="str">
        <f>T("Danemark")</f>
        <v>Danemark</v>
      </c>
    </row>
    <row r="321" spans="1:4" x14ac:dyDescent="0.25">
      <c r="A321" t="str">
        <f>T("   ZZ_Total_Produit_SH6")</f>
        <v xml:space="preserve">   ZZ_Total_Produit_SH6</v>
      </c>
      <c r="B321" t="str">
        <f>T("   ZZ_Total_Produit_SH6")</f>
        <v xml:space="preserve">   ZZ_Total_Produit_SH6</v>
      </c>
      <c r="C321">
        <v>5392114532</v>
      </c>
      <c r="D321">
        <v>24274193.399999999</v>
      </c>
    </row>
    <row r="322" spans="1:4" x14ac:dyDescent="0.25">
      <c r="A322" t="str">
        <f>T("   080211")</f>
        <v xml:space="preserve">   080211</v>
      </c>
      <c r="B322" t="str">
        <f>T("   Amandes, fraîches ou sèches, en coques")</f>
        <v xml:space="preserve">   Amandes, fraîches ou sèches, en coques</v>
      </c>
      <c r="C322">
        <v>5382555215</v>
      </c>
      <c r="D322">
        <v>24270000</v>
      </c>
    </row>
    <row r="323" spans="1:4" x14ac:dyDescent="0.25">
      <c r="A323" t="str">
        <f>T("   620590")</f>
        <v xml:space="preserve">   620590</v>
      </c>
      <c r="B32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23">
        <v>900000</v>
      </c>
      <c r="D323">
        <v>1100</v>
      </c>
    </row>
    <row r="324" spans="1:4" x14ac:dyDescent="0.25">
      <c r="A324" t="str">
        <f>T("   732394")</f>
        <v xml:space="preserve">   732394</v>
      </c>
      <c r="B324" t="s">
        <v>67</v>
      </c>
      <c r="C324">
        <v>600000</v>
      </c>
      <c r="D324">
        <v>600</v>
      </c>
    </row>
    <row r="325" spans="1:4" x14ac:dyDescent="0.25">
      <c r="A325" t="str">
        <f>T("   843120")</f>
        <v xml:space="preserve">   843120</v>
      </c>
      <c r="B325" t="str">
        <f>T("   Parties de chariots-gerbeurs et autres chariots de manutention munis d'un dispositif de levage, n.d.a.")</f>
        <v xml:space="preserve">   Parties de chariots-gerbeurs et autres chariots de manutention munis d'un dispositif de levage, n.d.a.</v>
      </c>
      <c r="C325">
        <v>909285</v>
      </c>
      <c r="D325">
        <v>120.4</v>
      </c>
    </row>
    <row r="326" spans="1:4" x14ac:dyDescent="0.25">
      <c r="A326" t="str">
        <f>T("   843149")</f>
        <v xml:space="preserve">   843149</v>
      </c>
      <c r="B326" t="str">
        <f>T("   Parties de machines et appareils du n° 8426, 8429 ou 8430, n.d.a.")</f>
        <v xml:space="preserve">   Parties de machines et appareils du n° 8426, 8429 ou 8430, n.d.a.</v>
      </c>
      <c r="C326">
        <v>1956200</v>
      </c>
      <c r="D326">
        <v>23</v>
      </c>
    </row>
    <row r="327" spans="1:4" x14ac:dyDescent="0.25">
      <c r="A327" t="str">
        <f>T("   852910")</f>
        <v xml:space="preserve">   852910</v>
      </c>
      <c r="B327"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327">
        <v>1321483</v>
      </c>
      <c r="D327">
        <v>18</v>
      </c>
    </row>
    <row r="328" spans="1:4" x14ac:dyDescent="0.25">
      <c r="A328" t="str">
        <f>T("   853400")</f>
        <v xml:space="preserve">   853400</v>
      </c>
      <c r="B328" t="str">
        <f>T("   Circuits imprimés")</f>
        <v xml:space="preserve">   Circuits imprimés</v>
      </c>
      <c r="C328">
        <v>266428</v>
      </c>
      <c r="D328">
        <v>4</v>
      </c>
    </row>
    <row r="329" spans="1:4" x14ac:dyDescent="0.25">
      <c r="A329" t="str">
        <f>T("   854460")</f>
        <v xml:space="preserve">   854460</v>
      </c>
      <c r="B329" t="str">
        <f>T("   Conducteurs électriques, pour tension &gt; 1.000 V, n.d.a.")</f>
        <v xml:space="preserve">   Conducteurs électriques, pour tension &gt; 1.000 V, n.d.a.</v>
      </c>
      <c r="C329">
        <v>1605921</v>
      </c>
      <c r="D329">
        <v>28</v>
      </c>
    </row>
    <row r="330" spans="1:4" x14ac:dyDescent="0.25">
      <c r="A330" t="str">
        <f>T("   940350")</f>
        <v xml:space="preserve">   940350</v>
      </c>
      <c r="B330" t="str">
        <f>T("   Meubles pour chambres à coucher, en bois (sauf sièges)")</f>
        <v xml:space="preserve">   Meubles pour chambres à coucher, en bois (sauf sièges)</v>
      </c>
      <c r="C330">
        <v>2000000</v>
      </c>
      <c r="D330">
        <v>2300</v>
      </c>
    </row>
    <row r="331" spans="1:4" x14ac:dyDescent="0.25">
      <c r="A331" t="str">
        <f>T("EC")</f>
        <v>EC</v>
      </c>
      <c r="B331" t="str">
        <f>T("Equateur")</f>
        <v>Equateur</v>
      </c>
    </row>
    <row r="332" spans="1:4" x14ac:dyDescent="0.25">
      <c r="A332" t="str">
        <f>T("   ZZ_Total_Produit_SH6")</f>
        <v xml:space="preserve">   ZZ_Total_Produit_SH6</v>
      </c>
      <c r="B332" t="str">
        <f>T("   ZZ_Total_Produit_SH6")</f>
        <v xml:space="preserve">   ZZ_Total_Produit_SH6</v>
      </c>
      <c r="C332">
        <v>60000</v>
      </c>
      <c r="D332">
        <v>244</v>
      </c>
    </row>
    <row r="333" spans="1:4" x14ac:dyDescent="0.25">
      <c r="A333" t="str">
        <f>T("   121230")</f>
        <v xml:space="preserve">   121230</v>
      </c>
      <c r="B333" t="str">
        <f>T("   Noyaux et amandes d'abricots, de pêches [y.c. des brugnons et nectarines] ou de prunes")</f>
        <v xml:space="preserve">   Noyaux et amandes d'abricots, de pêches [y.c. des brugnons et nectarines] ou de prunes</v>
      </c>
      <c r="C333">
        <v>60000</v>
      </c>
      <c r="D333">
        <v>244</v>
      </c>
    </row>
    <row r="334" spans="1:4" x14ac:dyDescent="0.25">
      <c r="A334" t="str">
        <f>T("EG")</f>
        <v>EG</v>
      </c>
      <c r="B334" t="str">
        <f>T("Egypte")</f>
        <v>Egypte</v>
      </c>
    </row>
    <row r="335" spans="1:4" x14ac:dyDescent="0.25">
      <c r="A335" t="str">
        <f>T("   ZZ_Total_Produit_SH6")</f>
        <v xml:space="preserve">   ZZ_Total_Produit_SH6</v>
      </c>
      <c r="B335" t="str">
        <f>T("   ZZ_Total_Produit_SH6")</f>
        <v xml:space="preserve">   ZZ_Total_Produit_SH6</v>
      </c>
      <c r="C335">
        <v>5200386503</v>
      </c>
      <c r="D335">
        <v>5880726</v>
      </c>
    </row>
    <row r="336" spans="1:4" x14ac:dyDescent="0.25">
      <c r="A336" t="str">
        <f>T("   520100")</f>
        <v xml:space="preserve">   520100</v>
      </c>
      <c r="B336" t="str">
        <f>T("   COTON, NON-CARDÉ NI PEIGNÉ")</f>
        <v xml:space="preserve">   COTON, NON-CARDÉ NI PEIGNÉ</v>
      </c>
      <c r="C336">
        <v>5198386503</v>
      </c>
      <c r="D336">
        <v>5878726</v>
      </c>
    </row>
    <row r="337" spans="1:4" x14ac:dyDescent="0.25">
      <c r="A337" t="str">
        <f>T("   620590")</f>
        <v xml:space="preserve">   620590</v>
      </c>
      <c r="B33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37">
        <v>700000</v>
      </c>
      <c r="D337">
        <v>500</v>
      </c>
    </row>
    <row r="338" spans="1:4" x14ac:dyDescent="0.25">
      <c r="A338" t="str">
        <f>T("   732394")</f>
        <v xml:space="preserve">   732394</v>
      </c>
      <c r="B338" t="s">
        <v>67</v>
      </c>
      <c r="C338">
        <v>300000</v>
      </c>
      <c r="D338">
        <v>300</v>
      </c>
    </row>
    <row r="339" spans="1:4" x14ac:dyDescent="0.25">
      <c r="A339" t="str">
        <f>T("   940350")</f>
        <v xml:space="preserve">   940350</v>
      </c>
      <c r="B339" t="str">
        <f>T("   Meubles pour chambres à coucher, en bois (sauf sièges)")</f>
        <v xml:space="preserve">   Meubles pour chambres à coucher, en bois (sauf sièges)</v>
      </c>
      <c r="C339">
        <v>1000000</v>
      </c>
      <c r="D339">
        <v>1200</v>
      </c>
    </row>
    <row r="340" spans="1:4" x14ac:dyDescent="0.25">
      <c r="A340" t="str">
        <f>T("ES")</f>
        <v>ES</v>
      </c>
      <c r="B340" t="str">
        <f>T("Espagne")</f>
        <v>Espagne</v>
      </c>
    </row>
    <row r="341" spans="1:4" x14ac:dyDescent="0.25">
      <c r="A341" t="str">
        <f>T("   ZZ_Total_Produit_SH6")</f>
        <v xml:space="preserve">   ZZ_Total_Produit_SH6</v>
      </c>
      <c r="B341" t="str">
        <f>T("   ZZ_Total_Produit_SH6")</f>
        <v xml:space="preserve">   ZZ_Total_Produit_SH6</v>
      </c>
      <c r="C341">
        <v>918658573</v>
      </c>
      <c r="D341">
        <v>2047659.4</v>
      </c>
    </row>
    <row r="342" spans="1:4" x14ac:dyDescent="0.25">
      <c r="A342" t="str">
        <f>T("   120799")</f>
        <v xml:space="preserve">   120799</v>
      </c>
      <c r="B342" t="s">
        <v>16</v>
      </c>
      <c r="C342">
        <v>261400000</v>
      </c>
      <c r="D342">
        <v>1240200</v>
      </c>
    </row>
    <row r="343" spans="1:4" x14ac:dyDescent="0.25">
      <c r="A343" t="str">
        <f>T("   121299")</f>
        <v xml:space="preserve">   121299</v>
      </c>
      <c r="B343" t="str">
        <f>T("   NOYAUX ET AMANDES DE FRUITS ET AUTRES PRODUITS VÉGÉTAUX - Y.C. LES RACINES DE CHICORÉE NON-TORRÉFIÉES DE LA VARIÉTÉ 'CICHORIUM INTYBUS SATIVUM' -, SERVANT PRINCIPALEMENT À L'ALIMENTATION HUMAINE, N.D.A.")</f>
        <v xml:space="preserve">   NOYAUX ET AMANDES DE FRUITS ET AUTRES PRODUITS VÉGÉTAUX - Y.C. LES RACINES DE CHICORÉE NON-TORRÉFIÉES DE LA VARIÉTÉ 'CICHORIUM INTYBUS SATIVUM' -, SERVANT PRINCIPALEMENT À L'ALIMENTATION HUMAINE, N.D.A.</v>
      </c>
      <c r="C343">
        <v>14722500</v>
      </c>
      <c r="D343">
        <v>98150</v>
      </c>
    </row>
    <row r="344" spans="1:4" x14ac:dyDescent="0.25">
      <c r="A344" t="str">
        <f>T("   300590")</f>
        <v xml:space="preserve">   300590</v>
      </c>
      <c r="B344" t="s">
        <v>30</v>
      </c>
      <c r="C344">
        <v>649171</v>
      </c>
      <c r="D344">
        <v>16.399999999999999</v>
      </c>
    </row>
    <row r="345" spans="1:4" x14ac:dyDescent="0.25">
      <c r="A345" t="str">
        <f>T("   401199")</f>
        <v xml:space="preserve">   401199</v>
      </c>
      <c r="B345" t="s">
        <v>43</v>
      </c>
      <c r="C345">
        <v>250134472</v>
      </c>
      <c r="D345">
        <v>43442</v>
      </c>
    </row>
    <row r="346" spans="1:4" x14ac:dyDescent="0.25">
      <c r="A346" t="str">
        <f>T("   410150")</f>
        <v xml:space="preserve">   410150</v>
      </c>
      <c r="B346" t="s">
        <v>44</v>
      </c>
      <c r="C346">
        <v>10953000</v>
      </c>
      <c r="D346">
        <v>4450</v>
      </c>
    </row>
    <row r="347" spans="1:4" x14ac:dyDescent="0.25">
      <c r="A347" t="str">
        <f>T("   440729")</f>
        <v xml:space="preserve">   440729</v>
      </c>
      <c r="B347" t="s">
        <v>47</v>
      </c>
      <c r="C347">
        <v>11361710</v>
      </c>
      <c r="D347">
        <v>10000</v>
      </c>
    </row>
    <row r="348" spans="1:4" x14ac:dyDescent="0.25">
      <c r="A348" t="str">
        <f>T("   520100")</f>
        <v xml:space="preserve">   520100</v>
      </c>
      <c r="B348" t="str">
        <f>T("   COTON, NON-CARDÉ NI PEIGNÉ")</f>
        <v xml:space="preserve">   COTON, NON-CARDÉ NI PEIGNÉ</v>
      </c>
      <c r="C348">
        <v>359928720</v>
      </c>
      <c r="D348">
        <v>499901</v>
      </c>
    </row>
    <row r="349" spans="1:4" x14ac:dyDescent="0.25">
      <c r="A349" t="str">
        <f>T("   720429")</f>
        <v xml:space="preserve">   720429</v>
      </c>
      <c r="B349"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349">
        <v>6000000</v>
      </c>
      <c r="D349">
        <v>120000</v>
      </c>
    </row>
    <row r="350" spans="1:4" x14ac:dyDescent="0.25">
      <c r="A350" t="str">
        <f>T("   720430")</f>
        <v xml:space="preserve">   720430</v>
      </c>
      <c r="B350"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350">
        <v>1500000</v>
      </c>
      <c r="D350">
        <v>30000</v>
      </c>
    </row>
    <row r="351" spans="1:4" x14ac:dyDescent="0.25">
      <c r="A351" t="str">
        <f>T("   940350")</f>
        <v xml:space="preserve">   940350</v>
      </c>
      <c r="B351" t="str">
        <f>T("   Meubles pour chambres à coucher, en bois (sauf sièges)")</f>
        <v xml:space="preserve">   Meubles pour chambres à coucher, en bois (sauf sièges)</v>
      </c>
      <c r="C351">
        <v>2009000</v>
      </c>
      <c r="D351">
        <v>1500</v>
      </c>
    </row>
    <row r="352" spans="1:4" x14ac:dyDescent="0.25">
      <c r="A352" t="str">
        <f>T("FR")</f>
        <v>FR</v>
      </c>
      <c r="B352" t="str">
        <f>T("France")</f>
        <v>France</v>
      </c>
    </row>
    <row r="353" spans="1:4" x14ac:dyDescent="0.25">
      <c r="A353" t="str">
        <f>T("   ZZ_Total_Produit_SH6")</f>
        <v xml:space="preserve">   ZZ_Total_Produit_SH6</v>
      </c>
      <c r="B353" t="str">
        <f>T("   ZZ_Total_Produit_SH6")</f>
        <v xml:space="preserve">   ZZ_Total_Produit_SH6</v>
      </c>
      <c r="C353">
        <v>662351384</v>
      </c>
      <c r="D353">
        <v>1669641.37</v>
      </c>
    </row>
    <row r="354" spans="1:4" x14ac:dyDescent="0.25">
      <c r="A354" t="str">
        <f>T("   030611")</f>
        <v xml:space="preserve">   030611</v>
      </c>
      <c r="B354" t="str">
        <f>T("   LANGOUSTES [PALINURUS SPP., PANULIRUS SPP., JASUS SPP]', MÊME DÉCORTIQUÉES, CONGELÉES, Y.C. LES LANGOUSTES NON-DÉCORTIQUÉES PRÉALABLEMENT CUITES À L'EAU OU À LA VAPEUR")</f>
        <v xml:space="preserve">   LANGOUSTES [PALINURUS SPP., PANULIRUS SPP., JASUS SPP]', MÊME DÉCORTIQUÉES, CONGELÉES, Y.C. LES LANGOUSTES NON-DÉCORTIQUÉES PRÉALABLEMENT CUITES À L'EAU OU À LA VAPEUR</v>
      </c>
      <c r="C354">
        <v>813000</v>
      </c>
      <c r="D354">
        <v>1904</v>
      </c>
    </row>
    <row r="355" spans="1:4" x14ac:dyDescent="0.25">
      <c r="A355" t="str">
        <f>T("   030621")</f>
        <v xml:space="preserve">   030621</v>
      </c>
      <c r="B355" t="str">
        <f>T("   Langoustes [Palinurus spp., Panulirus spp., Jasus spp.], même décortiquées, vivantes, fraîches, réfrigérées, séchées, salées ou en saumure, y.c. les langoustes non décortiquées préalablement cuites à l'eau ou à la vapeur")</f>
        <v xml:space="preserve">   Langoustes [Palinurus spp., Panulirus spp., Jasus spp.], même décortiquées, vivantes, fraîches, réfrigérées, séchées, salées ou en saumure, y.c. les langoustes non décortiquées préalablement cuites à l'eau ou à la vapeur</v>
      </c>
      <c r="C355">
        <v>280000</v>
      </c>
      <c r="D355">
        <v>304</v>
      </c>
    </row>
    <row r="356" spans="1:4" x14ac:dyDescent="0.25">
      <c r="A356" t="str">
        <f>T("   030629")</f>
        <v xml:space="preserve">   030629</v>
      </c>
      <c r="B356" t="s">
        <v>14</v>
      </c>
      <c r="C356">
        <v>80000</v>
      </c>
      <c r="D356">
        <v>80</v>
      </c>
    </row>
    <row r="357" spans="1:4" x14ac:dyDescent="0.25">
      <c r="A357" t="str">
        <f>T("   040110")</f>
        <v xml:space="preserve">   040110</v>
      </c>
      <c r="B357" t="str">
        <f>T("   LAIT ET CRÈME DE LAIT, NON-CONCENTRÉS NI ADDITIONNÉS DE SUCRE OU D'AUTRES ÉDULCORANTS, D'UNE TENEUR EN POIDS DE MATIÈRES GRASSES &lt;= 1%")</f>
        <v xml:space="preserve">   LAIT ET CRÈME DE LAIT, NON-CONCENTRÉS NI ADDITIONNÉS DE SUCRE OU D'AUTRES ÉDULCORANTS, D'UNE TENEUR EN POIDS DE MATIÈRES GRASSES &lt;= 1%</v>
      </c>
      <c r="C357">
        <v>54000</v>
      </c>
      <c r="D357">
        <v>150</v>
      </c>
    </row>
    <row r="358" spans="1:4" x14ac:dyDescent="0.25">
      <c r="A358" t="str">
        <f>T("   040590")</f>
        <v xml:space="preserve">   040590</v>
      </c>
      <c r="B358" t="str">
        <f>T("   Matières grasses provenant du lait ainsi que beurre déshydraté et ghee (à l'excl. du beurre naturel, du beurre recombiné et du beurre de lactosérum)")</f>
        <v xml:space="preserve">   Matières grasses provenant du lait ainsi que beurre déshydraté et ghee (à l'excl. du beurre naturel, du beurre recombiné et du beurre de lactosérum)</v>
      </c>
      <c r="C358">
        <v>10000</v>
      </c>
      <c r="D358">
        <v>10</v>
      </c>
    </row>
    <row r="359" spans="1:4" x14ac:dyDescent="0.25">
      <c r="A359" t="str">
        <f>T("   071420")</f>
        <v xml:space="preserve">   071420</v>
      </c>
      <c r="B359" t="str">
        <f>T("   Patates douces, fraîches, réfrigérées, congelées ou séchées, même débitées en morceaux ou agglomérées sous forme de pellets")</f>
        <v xml:space="preserve">   Patates douces, fraîches, réfrigérées, congelées ou séchées, même débitées en morceaux ou agglomérées sous forme de pellets</v>
      </c>
      <c r="C359">
        <v>910800</v>
      </c>
      <c r="D359">
        <v>18216</v>
      </c>
    </row>
    <row r="360" spans="1:4" x14ac:dyDescent="0.25">
      <c r="A360" t="str">
        <f>T("   071490")</f>
        <v xml:space="preserve">   071490</v>
      </c>
      <c r="B360" t="s">
        <v>15</v>
      </c>
      <c r="C360">
        <v>22500</v>
      </c>
      <c r="D360">
        <v>300</v>
      </c>
    </row>
    <row r="361" spans="1:4" x14ac:dyDescent="0.25">
      <c r="A361" t="str">
        <f>T("   080430")</f>
        <v xml:space="preserve">   080430</v>
      </c>
      <c r="B361" t="str">
        <f>T("   Ananas, frais ou secs")</f>
        <v xml:space="preserve">   Ananas, frais ou secs</v>
      </c>
      <c r="C361">
        <v>70964008</v>
      </c>
      <c r="D361">
        <v>1032288</v>
      </c>
    </row>
    <row r="362" spans="1:4" x14ac:dyDescent="0.25">
      <c r="A362" t="str">
        <f>T("   110220")</f>
        <v xml:space="preserve">   110220</v>
      </c>
      <c r="B362" t="str">
        <f>T("   Farine de maïs")</f>
        <v xml:space="preserve">   Farine de maïs</v>
      </c>
      <c r="C362">
        <v>3500000</v>
      </c>
      <c r="D362">
        <v>15000</v>
      </c>
    </row>
    <row r="363" spans="1:4" x14ac:dyDescent="0.25">
      <c r="A363" t="str">
        <f>T("   110620")</f>
        <v xml:space="preserve">   110620</v>
      </c>
      <c r="B363" t="str">
        <f>T("   Farines, semoules et poudres de sagou ou des racines ou tubercules du n° 0714")</f>
        <v xml:space="preserve">   Farines, semoules et poudres de sagou ou des racines ou tubercules du n° 0714</v>
      </c>
      <c r="C363">
        <v>24470542</v>
      </c>
      <c r="D363">
        <v>68500</v>
      </c>
    </row>
    <row r="364" spans="1:4" x14ac:dyDescent="0.25">
      <c r="A364" t="str">
        <f>T("   120210")</f>
        <v xml:space="preserve">   120210</v>
      </c>
      <c r="B364" t="str">
        <f>T("   ARACHIDES, EN COQUES, NON-GRILLÉES NI AUTREMENT CUITES")</f>
        <v xml:space="preserve">   ARACHIDES, EN COQUES, NON-GRILLÉES NI AUTREMENT CUITES</v>
      </c>
      <c r="C364">
        <v>3233000</v>
      </c>
      <c r="D364">
        <v>10000</v>
      </c>
    </row>
    <row r="365" spans="1:4" x14ac:dyDescent="0.25">
      <c r="A365" t="str">
        <f>T("   120720")</f>
        <v xml:space="preserve">   120720</v>
      </c>
      <c r="B365" t="str">
        <f>T("   Graines de coton, même concassées")</f>
        <v xml:space="preserve">   Graines de coton, même concassées</v>
      </c>
      <c r="C365">
        <v>15743</v>
      </c>
      <c r="D365">
        <v>455</v>
      </c>
    </row>
    <row r="366" spans="1:4" x14ac:dyDescent="0.25">
      <c r="A366" t="str">
        <f>T("   130120")</f>
        <v xml:space="preserve">   130120</v>
      </c>
      <c r="B366" t="str">
        <f>T("   Gomme arabique")</f>
        <v xml:space="preserve">   Gomme arabique</v>
      </c>
      <c r="C366">
        <v>2640000</v>
      </c>
      <c r="D366">
        <v>13200</v>
      </c>
    </row>
    <row r="367" spans="1:4" x14ac:dyDescent="0.25">
      <c r="A367" t="str">
        <f>T("   151190")</f>
        <v xml:space="preserve">   151190</v>
      </c>
      <c r="B367" t="str">
        <f>T("   Huile de palme et ses fractions, même raffinées, mais non chimiquement modifiées (à l'excl. de l'huile de palme brute)")</f>
        <v xml:space="preserve">   Huile de palme et ses fractions, même raffinées, mais non chimiquement modifiées (à l'excl. de l'huile de palme brute)</v>
      </c>
      <c r="C367">
        <v>13454066</v>
      </c>
      <c r="D367">
        <v>50992</v>
      </c>
    </row>
    <row r="368" spans="1:4" x14ac:dyDescent="0.25">
      <c r="A368" t="str">
        <f>T("   151790")</f>
        <v xml:space="preserve">   151790</v>
      </c>
      <c r="B368" t="s">
        <v>19</v>
      </c>
      <c r="C368">
        <v>30000</v>
      </c>
      <c r="D368">
        <v>250</v>
      </c>
    </row>
    <row r="369" spans="1:4" x14ac:dyDescent="0.25">
      <c r="A369" t="str">
        <f>T("   251710")</f>
        <v xml:space="preserve">   251710</v>
      </c>
      <c r="B369" t="str">
        <f>T("   Cailloux, graviers, pierres concassées, des types généralement utilisés pour le bétonnage ou pour l'empierrement des routes, des voies ferrées ou autres ballasts, galets et silex, même traités thermiquement")</f>
        <v xml:space="preserve">   Cailloux, graviers, pierres concassées, des types généralement utilisés pour le bétonnage ou pour l'empierrement des routes, des voies ferrées ou autres ballasts, galets et silex, même traités thermiquement</v>
      </c>
      <c r="C369">
        <v>2000000</v>
      </c>
      <c r="D369">
        <v>1103</v>
      </c>
    </row>
    <row r="370" spans="1:4" x14ac:dyDescent="0.25">
      <c r="A370" t="str">
        <f>T("   391590")</f>
        <v xml:space="preserve">   391590</v>
      </c>
      <c r="B370" t="str">
        <f>T("   Déchets, rognures et débris de matières plastiques (à l'excl. des déchets, rognures et débris de polymères de l'éthylène, du styrène ou du chlorure de vinyle)")</f>
        <v xml:space="preserve">   Déchets, rognures et débris de matières plastiques (à l'excl. des déchets, rognures et débris de polymères de l'éthylène, du styrène ou du chlorure de vinyle)</v>
      </c>
      <c r="C370">
        <v>78715</v>
      </c>
      <c r="D370">
        <v>8690.07</v>
      </c>
    </row>
    <row r="371" spans="1:4" x14ac:dyDescent="0.25">
      <c r="A371" t="str">
        <f>T("   392690")</f>
        <v xml:space="preserve">   392690</v>
      </c>
      <c r="B371" t="str">
        <f>T("   Ouvrages en matières plastiques et ouvrages en autres matières du n° 3901 à 3914, n.d.a.")</f>
        <v xml:space="preserve">   Ouvrages en matières plastiques et ouvrages en autres matières du n° 3901 à 3914, n.d.a.</v>
      </c>
      <c r="C371">
        <v>500000</v>
      </c>
      <c r="D371">
        <v>7988</v>
      </c>
    </row>
    <row r="372" spans="1:4" x14ac:dyDescent="0.25">
      <c r="A372" t="str">
        <f>T("   440729")</f>
        <v xml:space="preserve">   440729</v>
      </c>
      <c r="B372" t="s">
        <v>47</v>
      </c>
      <c r="C372">
        <v>57523548</v>
      </c>
      <c r="D372">
        <v>35000</v>
      </c>
    </row>
    <row r="373" spans="1:4" x14ac:dyDescent="0.25">
      <c r="A373" t="str">
        <f>T("   481920")</f>
        <v xml:space="preserve">   481920</v>
      </c>
      <c r="B373" t="str">
        <f>T("   Boîtes et cartonnages, pliants, en papier ou en carton non ondulé")</f>
        <v xml:space="preserve">   Boîtes et cartonnages, pliants, en papier ou en carton non ondulé</v>
      </c>
      <c r="C373">
        <v>7500000</v>
      </c>
      <c r="D373">
        <v>34050</v>
      </c>
    </row>
    <row r="374" spans="1:4" x14ac:dyDescent="0.25">
      <c r="A374" t="str">
        <f>T("   481940")</f>
        <v xml:space="preserve">   481940</v>
      </c>
      <c r="B374"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374">
        <v>1948157</v>
      </c>
      <c r="D374">
        <v>290</v>
      </c>
    </row>
    <row r="375" spans="1:4" x14ac:dyDescent="0.25">
      <c r="A375" t="str">
        <f>T("   490199")</f>
        <v xml:space="preserve">   490199</v>
      </c>
      <c r="B37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75">
        <v>1950090</v>
      </c>
      <c r="D375">
        <v>2161</v>
      </c>
    </row>
    <row r="376" spans="1:4" x14ac:dyDescent="0.25">
      <c r="A376" t="str">
        <f>T("   490700")</f>
        <v xml:space="preserve">   490700</v>
      </c>
      <c r="B376" t="s">
        <v>49</v>
      </c>
      <c r="C376">
        <v>9500000</v>
      </c>
      <c r="D376">
        <v>4535</v>
      </c>
    </row>
    <row r="377" spans="1:4" x14ac:dyDescent="0.25">
      <c r="A377" t="str">
        <f>T("   520100")</f>
        <v xml:space="preserve">   520100</v>
      </c>
      <c r="B377" t="str">
        <f>T("   COTON, NON-CARDÉ NI PEIGNÉ")</f>
        <v xml:space="preserve">   COTON, NON-CARDÉ NI PEIGNÉ</v>
      </c>
      <c r="C377">
        <v>174563353</v>
      </c>
      <c r="D377">
        <v>189446</v>
      </c>
    </row>
    <row r="378" spans="1:4" x14ac:dyDescent="0.25">
      <c r="A378" t="str">
        <f>T("   611430")</f>
        <v xml:space="preserve">   611430</v>
      </c>
      <c r="B378" t="str">
        <f>T("   Vêtements spéciaux destinés à des fins professionnelles, sportives ou autres n.d.a., en bonneterie, de fibres synthétiques ou artificielles")</f>
        <v xml:space="preserve">   Vêtements spéciaux destinés à des fins professionnelles, sportives ou autres n.d.a., en bonneterie, de fibres synthétiques ou artificielles</v>
      </c>
      <c r="C378">
        <v>4500000</v>
      </c>
      <c r="D378">
        <v>1200</v>
      </c>
    </row>
    <row r="379" spans="1:4" x14ac:dyDescent="0.25">
      <c r="A379" t="str">
        <f>T("   620590")</f>
        <v xml:space="preserve">   620590</v>
      </c>
      <c r="B37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79">
        <v>7550000</v>
      </c>
      <c r="D379">
        <v>8925</v>
      </c>
    </row>
    <row r="380" spans="1:4" x14ac:dyDescent="0.25">
      <c r="A380" t="str">
        <f>T("   621040")</f>
        <v xml:space="preserve">   621040</v>
      </c>
      <c r="B380" t="s">
        <v>52</v>
      </c>
      <c r="C380">
        <v>7582880</v>
      </c>
      <c r="D380">
        <v>3059.6</v>
      </c>
    </row>
    <row r="381" spans="1:4" x14ac:dyDescent="0.25">
      <c r="A381" t="str">
        <f>T("   630900")</f>
        <v xml:space="preserve">   630900</v>
      </c>
      <c r="B381" t="s">
        <v>56</v>
      </c>
      <c r="C381">
        <v>1000000</v>
      </c>
      <c r="D381">
        <v>1524.7</v>
      </c>
    </row>
    <row r="382" spans="1:4" x14ac:dyDescent="0.25">
      <c r="A382" t="str">
        <f>T("   640299")</f>
        <v xml:space="preserve">   640299</v>
      </c>
      <c r="B382" t="s">
        <v>57</v>
      </c>
      <c r="C382">
        <v>1807200</v>
      </c>
      <c r="D382">
        <v>900</v>
      </c>
    </row>
    <row r="383" spans="1:4" x14ac:dyDescent="0.25">
      <c r="A383" t="str">
        <f>T("   700529")</f>
        <v xml:space="preserve">   700529</v>
      </c>
      <c r="B383" t="s">
        <v>62</v>
      </c>
      <c r="C383">
        <v>2085088</v>
      </c>
      <c r="D383">
        <v>2636</v>
      </c>
    </row>
    <row r="384" spans="1:4" x14ac:dyDescent="0.25">
      <c r="A384" t="str">
        <f>T("   702000")</f>
        <v xml:space="preserve">   702000</v>
      </c>
      <c r="B384" t="str">
        <f>T("   Ouvrages en verre n.d.a.")</f>
        <v xml:space="preserve">   Ouvrages en verre n.d.a.</v>
      </c>
      <c r="C384">
        <v>1242060</v>
      </c>
      <c r="D384">
        <v>51</v>
      </c>
    </row>
    <row r="385" spans="1:4" x14ac:dyDescent="0.25">
      <c r="A385" t="str">
        <f>T("   720430")</f>
        <v xml:space="preserve">   720430</v>
      </c>
      <c r="B385"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385">
        <v>1950000</v>
      </c>
      <c r="D385">
        <v>35000</v>
      </c>
    </row>
    <row r="386" spans="1:4" x14ac:dyDescent="0.25">
      <c r="A386" t="str">
        <f>T("   732394")</f>
        <v xml:space="preserve">   732394</v>
      </c>
      <c r="B386" t="s">
        <v>67</v>
      </c>
      <c r="C386">
        <v>3650000</v>
      </c>
      <c r="D386">
        <v>4125</v>
      </c>
    </row>
    <row r="387" spans="1:4" x14ac:dyDescent="0.25">
      <c r="A387" t="str">
        <f>T("   732399")</f>
        <v xml:space="preserve">   732399</v>
      </c>
      <c r="B387" t="s">
        <v>68</v>
      </c>
      <c r="C387">
        <v>29969675</v>
      </c>
      <c r="D387">
        <v>10000</v>
      </c>
    </row>
    <row r="388" spans="1:4" x14ac:dyDescent="0.25">
      <c r="A388" t="str">
        <f>T("   741819")</f>
        <v xml:space="preserve">   741819</v>
      </c>
      <c r="B388" t="s">
        <v>69</v>
      </c>
      <c r="C388">
        <v>655960</v>
      </c>
      <c r="D388">
        <v>270</v>
      </c>
    </row>
    <row r="389" spans="1:4" x14ac:dyDescent="0.25">
      <c r="A389" t="str">
        <f>T("   820790")</f>
        <v xml:space="preserve">   820790</v>
      </c>
      <c r="B389" t="str">
        <f>T("   Outils interchangeables pour outillage à main, mécanique ou non, ou pour machines-outils, n.d.a.")</f>
        <v xml:space="preserve">   Outils interchangeables pour outillage à main, mécanique ou non, ou pour machines-outils, n.d.a.</v>
      </c>
      <c r="C389">
        <v>20597144</v>
      </c>
      <c r="D389">
        <v>2400</v>
      </c>
    </row>
    <row r="390" spans="1:4" x14ac:dyDescent="0.25">
      <c r="A390" t="str">
        <f>T("   842940")</f>
        <v xml:space="preserve">   842940</v>
      </c>
      <c r="B390" t="str">
        <f>T("   Rouleaux compresseurs et autres compacteuses, autopropulsés")</f>
        <v xml:space="preserve">   Rouleaux compresseurs et autres compacteuses, autopropulsés</v>
      </c>
      <c r="C390">
        <v>1833802</v>
      </c>
      <c r="D390">
        <v>178</v>
      </c>
    </row>
    <row r="391" spans="1:4" x14ac:dyDescent="0.25">
      <c r="A391" t="str">
        <f>T("   843049")</f>
        <v xml:space="preserve">   843049</v>
      </c>
      <c r="B391"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391">
        <v>19737736</v>
      </c>
      <c r="D391">
        <v>177</v>
      </c>
    </row>
    <row r="392" spans="1:4" x14ac:dyDescent="0.25">
      <c r="A392" t="str">
        <f>T("   843139")</f>
        <v xml:space="preserve">   843139</v>
      </c>
      <c r="B392" t="str">
        <f>T("   Parties de machines et appareils du n° 8428, n.d.a.")</f>
        <v xml:space="preserve">   Parties de machines et appareils du n° 8428, n.d.a.</v>
      </c>
      <c r="C392">
        <v>25895708</v>
      </c>
      <c r="D392">
        <v>1838</v>
      </c>
    </row>
    <row r="393" spans="1:4" x14ac:dyDescent="0.25">
      <c r="A393" t="str">
        <f>T("   843149")</f>
        <v xml:space="preserve">   843149</v>
      </c>
      <c r="B393" t="str">
        <f>T("   Parties de machines et appareils du n° 8426, 8429 ou 8430, n.d.a.")</f>
        <v xml:space="preserve">   Parties de machines et appareils du n° 8426, 8429 ou 8430, n.d.a.</v>
      </c>
      <c r="C393">
        <v>56337742</v>
      </c>
      <c r="D393">
        <v>3460</v>
      </c>
    </row>
    <row r="394" spans="1:4" x14ac:dyDescent="0.25">
      <c r="A394" t="str">
        <f>T("   847180")</f>
        <v xml:space="preserve">   847180</v>
      </c>
      <c r="B394"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394">
        <v>10229040</v>
      </c>
      <c r="D394">
        <v>29</v>
      </c>
    </row>
    <row r="395" spans="1:4" x14ac:dyDescent="0.25">
      <c r="A395" t="str">
        <f>T("   850213")</f>
        <v xml:space="preserve">   850213</v>
      </c>
      <c r="B395" t="s">
        <v>82</v>
      </c>
      <c r="C395">
        <v>13050601</v>
      </c>
      <c r="D395">
        <v>2800</v>
      </c>
    </row>
    <row r="396" spans="1:4" x14ac:dyDescent="0.25">
      <c r="A396" t="str">
        <f>T("   870322")</f>
        <v xml:space="preserve">   870322</v>
      </c>
      <c r="B396" t="s">
        <v>87</v>
      </c>
      <c r="C396">
        <v>16067915</v>
      </c>
      <c r="D396">
        <v>13414</v>
      </c>
    </row>
    <row r="397" spans="1:4" x14ac:dyDescent="0.25">
      <c r="A397" t="str">
        <f>T("   870323")</f>
        <v xml:space="preserve">   870323</v>
      </c>
      <c r="B397" t="s">
        <v>88</v>
      </c>
      <c r="C397">
        <v>2000000</v>
      </c>
      <c r="D397">
        <v>3040</v>
      </c>
    </row>
    <row r="398" spans="1:4" x14ac:dyDescent="0.25">
      <c r="A398" t="str">
        <f>T("   870331")</f>
        <v xml:space="preserve">   870331</v>
      </c>
      <c r="B398" t="s">
        <v>90</v>
      </c>
      <c r="C398">
        <v>3215000</v>
      </c>
      <c r="D398">
        <v>1200</v>
      </c>
    </row>
    <row r="399" spans="1:4" x14ac:dyDescent="0.25">
      <c r="A399" t="str">
        <f>T("   870332")</f>
        <v xml:space="preserve">   870332</v>
      </c>
      <c r="B399" t="s">
        <v>91</v>
      </c>
      <c r="C399">
        <v>1400000</v>
      </c>
      <c r="D399">
        <v>1900</v>
      </c>
    </row>
    <row r="400" spans="1:4" x14ac:dyDescent="0.25">
      <c r="A400" t="str">
        <f>T("   901580")</f>
        <v xml:space="preserve">   901580</v>
      </c>
      <c r="B400" t="s">
        <v>99</v>
      </c>
      <c r="C400">
        <v>3280600</v>
      </c>
      <c r="D400">
        <v>125</v>
      </c>
    </row>
    <row r="401" spans="1:4" x14ac:dyDescent="0.25">
      <c r="A401" t="str">
        <f>T("   901590")</f>
        <v xml:space="preserve">   901590</v>
      </c>
      <c r="B401" t="str">
        <f>T("   Parties et accessoires des instruments et appareils de géodésie, de topographie, d'arpentage, de nivellement, de photogrammétrie, d'hydrographie, d'océanographie, d'hydrologie, de météorologie ou de géophysique ainsi que des télémètres, n.d.a.")</f>
        <v xml:space="preserve">   Parties et accessoires des instruments et appareils de géodésie, de topographie, d'arpentage, de nivellement, de photogrammétrie, d'hydrographie, d'océanographie, d'hydrologie, de météorologie ou de géophysique ainsi que des télémètres, n.d.a.</v>
      </c>
      <c r="C401">
        <v>4937411</v>
      </c>
      <c r="D401">
        <v>495</v>
      </c>
    </row>
    <row r="402" spans="1:4" x14ac:dyDescent="0.25">
      <c r="A402" t="str">
        <f>T("   901920")</f>
        <v xml:space="preserve">   901920</v>
      </c>
      <c r="B402" t="str">
        <f>T("   APPAREILS D'OZONOTHERAPIE, D'OXYGÉNOTHERAPIE, D'AÉROSOLTHERAPIE; APPAREILS RESPIRATOIRES DE RÉANIMATION ET AUTRES APPAREILS DE THERAPIE RESPIRATOIRE")</f>
        <v xml:space="preserve">   APPAREILS D'OZONOTHERAPIE, D'OXYGÉNOTHERAPIE, D'AÉROSOLTHERAPIE; APPAREILS RESPIRATOIRES DE RÉANIMATION ET AUTRES APPAREILS DE THERAPIE RESPIRATOIRE</v>
      </c>
      <c r="C402">
        <v>11580000</v>
      </c>
      <c r="D402">
        <v>2261</v>
      </c>
    </row>
    <row r="403" spans="1:4" x14ac:dyDescent="0.25">
      <c r="A403" t="str">
        <f>T("   940350")</f>
        <v xml:space="preserve">   940350</v>
      </c>
      <c r="B403" t="str">
        <f>T("   Meubles pour chambres à coucher, en bois (sauf sièges)")</f>
        <v xml:space="preserve">   Meubles pour chambres à coucher, en bois (sauf sièges)</v>
      </c>
      <c r="C403">
        <v>14950000</v>
      </c>
      <c r="D403">
        <v>21150</v>
      </c>
    </row>
    <row r="404" spans="1:4" x14ac:dyDescent="0.25">
      <c r="A404" t="str">
        <f>T("   940360")</f>
        <v xml:space="preserve">   940360</v>
      </c>
      <c r="B404" t="str">
        <f>T("   Meubles en bois (autres que pour bureaux, cuisines ou chambres à coucher et autres que sièges)")</f>
        <v xml:space="preserve">   Meubles en bois (autres que pour bureaux, cuisines ou chambres à coucher et autres que sièges)</v>
      </c>
      <c r="C404">
        <v>13000000</v>
      </c>
      <c r="D404">
        <v>7150</v>
      </c>
    </row>
    <row r="405" spans="1:4" x14ac:dyDescent="0.25">
      <c r="A405" t="str">
        <f>T("   940381")</f>
        <v xml:space="preserve">   940381</v>
      </c>
      <c r="B405" t="str">
        <f>T("   MEUBLES EN BAMBOU OU EN ROTIN (À L'EXCL. DES SIÈGES ET MOBILIER POUR LA MÉDECINE, L'ART DENTAIRE ET VÉTÉRINAIRE OU LA CHIRURGIE)")</f>
        <v xml:space="preserve">   MEUBLES EN BAMBOU OU EN ROTIN (À L'EXCL. DES SIÈGES ET MOBILIER POUR LA MÉDECINE, L'ART DENTAIRE ET VÉTÉRINAIRE OU LA CHIRURGIE)</v>
      </c>
      <c r="C405">
        <v>4000000</v>
      </c>
      <c r="D405">
        <v>4900</v>
      </c>
    </row>
    <row r="406" spans="1:4" x14ac:dyDescent="0.25">
      <c r="A406" t="str">
        <f>T("   940389")</f>
        <v xml:space="preserve">   940389</v>
      </c>
      <c r="B406"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406">
        <v>2000000</v>
      </c>
      <c r="D406">
        <v>40000</v>
      </c>
    </row>
    <row r="407" spans="1:4" x14ac:dyDescent="0.25">
      <c r="A407" t="str">
        <f>T("   970300")</f>
        <v xml:space="preserve">   970300</v>
      </c>
      <c r="B407" t="str">
        <f>T("   Productions originales de l'art statuaire ou de la sculpture, en toutes matières")</f>
        <v xml:space="preserve">   Productions originales de l'art statuaire ou de la sculpture, en toutes matières</v>
      </c>
      <c r="C407">
        <v>204300</v>
      </c>
      <c r="D407">
        <v>521</v>
      </c>
    </row>
    <row r="408" spans="1:4" x14ac:dyDescent="0.25">
      <c r="A408" t="str">
        <f>T("GA")</f>
        <v>GA</v>
      </c>
      <c r="B408" t="str">
        <f>T("Gabon")</f>
        <v>Gabon</v>
      </c>
    </row>
    <row r="409" spans="1:4" x14ac:dyDescent="0.25">
      <c r="A409" t="str">
        <f>T("   ZZ_Total_Produit_SH6")</f>
        <v xml:space="preserve">   ZZ_Total_Produit_SH6</v>
      </c>
      <c r="B409" t="str">
        <f>T("   ZZ_Total_Produit_SH6")</f>
        <v xml:space="preserve">   ZZ_Total_Produit_SH6</v>
      </c>
      <c r="C409">
        <v>388365975</v>
      </c>
      <c r="D409">
        <v>855137</v>
      </c>
    </row>
    <row r="410" spans="1:4" x14ac:dyDescent="0.25">
      <c r="A410" t="str">
        <f>T("   060499")</f>
        <v xml:space="preserve">   060499</v>
      </c>
      <c r="B410" t="str">
        <f>T("   Feuillages, feuilles, rameaux et autres parties de plantes, sans fleurs ni boutons de fleurs, et herbes, pour bouquets ou pour ornements, séchés, blanchis, teints, imprégnés ou autrement travaillés")</f>
        <v xml:space="preserve">   Feuillages, feuilles, rameaux et autres parties de plantes, sans fleurs ni boutons de fleurs, et herbes, pour bouquets ou pour ornements, séchés, blanchis, teints, imprégnés ou autrement travaillés</v>
      </c>
      <c r="C410">
        <v>300000</v>
      </c>
      <c r="D410">
        <v>1650</v>
      </c>
    </row>
    <row r="411" spans="1:4" x14ac:dyDescent="0.25">
      <c r="A411" t="str">
        <f>T("   071490")</f>
        <v xml:space="preserve">   071490</v>
      </c>
      <c r="B411" t="s">
        <v>15</v>
      </c>
      <c r="C411">
        <v>18719000</v>
      </c>
      <c r="D411">
        <v>233000</v>
      </c>
    </row>
    <row r="412" spans="1:4" x14ac:dyDescent="0.25">
      <c r="A412" t="str">
        <f>T("   100590")</f>
        <v xml:space="preserve">   100590</v>
      </c>
      <c r="B412" t="str">
        <f>T("   Maïs (autre que de semence)")</f>
        <v xml:space="preserve">   Maïs (autre que de semence)</v>
      </c>
      <c r="C412">
        <v>969000</v>
      </c>
      <c r="D412">
        <v>5100</v>
      </c>
    </row>
    <row r="413" spans="1:4" x14ac:dyDescent="0.25">
      <c r="A413" t="str">
        <f>T("   100890")</f>
        <v xml:space="preserve">   100890</v>
      </c>
      <c r="B413" t="str">
        <f>T("   Céréales (à l'excl. du froment [blé], du méteil, du seigle, de l'orge, de l'avoine, du maïs, du riz, du sorgho à grains, du sarrasin, du millet et de l'alpiste)")</f>
        <v xml:space="preserve">   Céréales (à l'excl. du froment [blé], du méteil, du seigle, de l'orge, de l'avoine, du maïs, du riz, du sorgho à grains, du sarrasin, du millet et de l'alpiste)</v>
      </c>
      <c r="C413">
        <v>5400000</v>
      </c>
      <c r="D413">
        <v>30000</v>
      </c>
    </row>
    <row r="414" spans="1:4" x14ac:dyDescent="0.25">
      <c r="A414" t="str">
        <f>T("   110311")</f>
        <v xml:space="preserve">   110311</v>
      </c>
      <c r="B414" t="str">
        <f>T("   Gruaux et semoules de froment [blé]")</f>
        <v xml:space="preserve">   Gruaux et semoules de froment [blé]</v>
      </c>
      <c r="C414">
        <v>21155351</v>
      </c>
      <c r="D414">
        <v>65910</v>
      </c>
    </row>
    <row r="415" spans="1:4" x14ac:dyDescent="0.25">
      <c r="A415" t="str">
        <f>T("   110620")</f>
        <v xml:space="preserve">   110620</v>
      </c>
      <c r="B415" t="str">
        <f>T("   Farines, semoules et poudres de sagou ou des racines ou tubercules du n° 0714")</f>
        <v xml:space="preserve">   Farines, semoules et poudres de sagou ou des racines ou tubercules du n° 0714</v>
      </c>
      <c r="C415">
        <v>32177000</v>
      </c>
      <c r="D415">
        <v>166019</v>
      </c>
    </row>
    <row r="416" spans="1:4" x14ac:dyDescent="0.25">
      <c r="A416" t="str">
        <f>T("   121230")</f>
        <v xml:space="preserve">   121230</v>
      </c>
      <c r="B416" t="str">
        <f>T("   Noyaux et amandes d'abricots, de pêches [y.c. des brugnons et nectarines] ou de prunes")</f>
        <v xml:space="preserve">   Noyaux et amandes d'abricots, de pêches [y.c. des brugnons et nectarines] ou de prunes</v>
      </c>
      <c r="C416">
        <v>60020066</v>
      </c>
      <c r="D416">
        <v>686</v>
      </c>
    </row>
    <row r="417" spans="1:4" x14ac:dyDescent="0.25">
      <c r="A417" t="str">
        <f>T("   190230")</f>
        <v xml:space="preserve">   190230</v>
      </c>
      <c r="B417" t="str">
        <f>T("   Pâtes alimentaires, cuites ou autrement préparées (à l'excl. des pâtes alimentaires farcies)")</f>
        <v xml:space="preserve">   Pâtes alimentaires, cuites ou autrement préparées (à l'excl. des pâtes alimentaires farcies)</v>
      </c>
      <c r="C417">
        <v>29351600</v>
      </c>
      <c r="D417">
        <v>63550</v>
      </c>
    </row>
    <row r="418" spans="1:4" x14ac:dyDescent="0.25">
      <c r="A418" t="str">
        <f>T("   200600")</f>
        <v xml:space="preserve">   200600</v>
      </c>
      <c r="B418" t="str">
        <f>T("   Légumes, fruits, écorces de fruits et autres parties de plantes, confits au sucre [égouttés, glacés ou cristallisés]")</f>
        <v xml:space="preserve">   Légumes, fruits, écorces de fruits et autres parties de plantes, confits au sucre [égouttés, glacés ou cristallisés]</v>
      </c>
      <c r="C418">
        <v>80000</v>
      </c>
      <c r="D418">
        <v>1050</v>
      </c>
    </row>
    <row r="419" spans="1:4" x14ac:dyDescent="0.25">
      <c r="A419" t="str">
        <f>T("   220429")</f>
        <v xml:space="preserve">   220429</v>
      </c>
      <c r="B419"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419">
        <v>7240000</v>
      </c>
      <c r="D419">
        <v>12620</v>
      </c>
    </row>
    <row r="420" spans="1:4" x14ac:dyDescent="0.25">
      <c r="A420" t="str">
        <f>T("   220600")</f>
        <v xml:space="preserve">   220600</v>
      </c>
      <c r="B420" t="s">
        <v>21</v>
      </c>
      <c r="C420">
        <v>355000</v>
      </c>
      <c r="D420">
        <v>8380</v>
      </c>
    </row>
    <row r="421" spans="1:4" x14ac:dyDescent="0.25">
      <c r="A421" t="str">
        <f>T("   220890")</f>
        <v xml:space="preserve">   220890</v>
      </c>
      <c r="B421" t="s">
        <v>22</v>
      </c>
      <c r="C421">
        <v>650000</v>
      </c>
      <c r="D421">
        <v>5700</v>
      </c>
    </row>
    <row r="422" spans="1:4" x14ac:dyDescent="0.25">
      <c r="A422" t="str">
        <f>T("   230240")</f>
        <v xml:space="preserve">   230240</v>
      </c>
      <c r="B422" t="str">
        <f>T("   SONS, REMOULAGES ET AUTRES RÉSIDUS, MÊME AGGLOMÉRÉS SOUS FORME DE PELLETS, DU CRIBLAGE, DE LA MOUTURE OU D'AUTRES TRAITEMENTS DES CÉRÉALES (À L'EXCL. DU MAÏS OU DU FROMENT)")</f>
        <v xml:space="preserve">   SONS, REMOULAGES ET AUTRES RÉSIDUS, MÊME AGGLOMÉRÉS SOUS FORME DE PELLETS, DU CRIBLAGE, DE LA MOUTURE OU D'AUTRES TRAITEMENTS DES CÉRÉALES (À L'EXCL. DU MAÏS OU DU FROMENT)</v>
      </c>
      <c r="C422">
        <v>235000</v>
      </c>
      <c r="D422">
        <v>7550</v>
      </c>
    </row>
    <row r="423" spans="1:4" x14ac:dyDescent="0.25">
      <c r="A423" t="str">
        <f>T("   320990")</f>
        <v xml:space="preserve">   320990</v>
      </c>
      <c r="B423"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423">
        <v>3725000</v>
      </c>
      <c r="D423">
        <v>3400</v>
      </c>
    </row>
    <row r="424" spans="1:4" x14ac:dyDescent="0.25">
      <c r="A424" t="str">
        <f>T("   330499")</f>
        <v xml:space="preserve">   330499</v>
      </c>
      <c r="B424" t="s">
        <v>33</v>
      </c>
      <c r="C424">
        <v>2310000</v>
      </c>
      <c r="D424">
        <v>21500</v>
      </c>
    </row>
    <row r="425" spans="1:4" x14ac:dyDescent="0.25">
      <c r="A425" t="str">
        <f>T("   330790")</f>
        <v xml:space="preserve">   330790</v>
      </c>
      <c r="B425" t="str">
        <f>T("   Dépilatoires, autres produits de parfumerie ou de toilette préparés et autres préparations cosmétiques, n.d.a.")</f>
        <v xml:space="preserve">   Dépilatoires, autres produits de parfumerie ou de toilette préparés et autres préparations cosmétiques, n.d.a.</v>
      </c>
      <c r="C425">
        <v>6345000</v>
      </c>
      <c r="D425">
        <v>3760</v>
      </c>
    </row>
    <row r="426" spans="1:4" x14ac:dyDescent="0.25">
      <c r="A426" t="str">
        <f>T("   392020")</f>
        <v xml:space="preserve">   392020</v>
      </c>
      <c r="B426" t="s">
        <v>39</v>
      </c>
      <c r="C426">
        <v>1989074</v>
      </c>
      <c r="D426">
        <v>1047</v>
      </c>
    </row>
    <row r="427" spans="1:4" x14ac:dyDescent="0.25">
      <c r="A427" t="str">
        <f>T("   392390")</f>
        <v xml:space="preserve">   392390</v>
      </c>
      <c r="B427" t="s">
        <v>40</v>
      </c>
      <c r="C427">
        <v>300000</v>
      </c>
      <c r="D427">
        <v>500</v>
      </c>
    </row>
    <row r="428" spans="1:4" x14ac:dyDescent="0.25">
      <c r="A428" t="str">
        <f>T("   392410")</f>
        <v xml:space="preserve">   392410</v>
      </c>
      <c r="B428" t="str">
        <f>T("   Vaisselle et autres articles pour le service de la table ou de la cuisine, en matières plastiques")</f>
        <v xml:space="preserve">   Vaisselle et autres articles pour le service de la table ou de la cuisine, en matières plastiques</v>
      </c>
      <c r="C428">
        <v>850000</v>
      </c>
      <c r="D428">
        <v>350</v>
      </c>
    </row>
    <row r="429" spans="1:4" x14ac:dyDescent="0.25">
      <c r="A429" t="str">
        <f>T("   392490")</f>
        <v xml:space="preserve">   392490</v>
      </c>
      <c r="B429" t="s">
        <v>41</v>
      </c>
      <c r="C429">
        <v>3655000</v>
      </c>
      <c r="D429">
        <v>20210</v>
      </c>
    </row>
    <row r="430" spans="1:4" x14ac:dyDescent="0.25">
      <c r="A430" t="str">
        <f>T("   392690")</f>
        <v xml:space="preserve">   392690</v>
      </c>
      <c r="B430" t="str">
        <f>T("   Ouvrages en matières plastiques et ouvrages en autres matières du n° 3901 à 3914, n.d.a.")</f>
        <v xml:space="preserve">   Ouvrages en matières plastiques et ouvrages en autres matières du n° 3901 à 3914, n.d.a.</v>
      </c>
      <c r="C430">
        <v>2400000</v>
      </c>
      <c r="D430">
        <v>22550</v>
      </c>
    </row>
    <row r="431" spans="1:4" x14ac:dyDescent="0.25">
      <c r="A431" t="str">
        <f>T("   401211")</f>
        <v xml:space="preserve">   401211</v>
      </c>
      <c r="B431"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431">
        <v>5200000</v>
      </c>
      <c r="D431">
        <v>1200</v>
      </c>
    </row>
    <row r="432" spans="1:4" x14ac:dyDescent="0.25">
      <c r="A432" t="str">
        <f>T("   460129")</f>
        <v xml:space="preserve">   460129</v>
      </c>
      <c r="B432" t="str">
        <f>T("   NATTES, PAILLASSONS ET CLAIES, EN MATIÈRES À TRESSER VÉGÉTALES, TISSÉS OU PARALLÉLISÉS, À PLAT (SAUF EN BAMBOU ET EN ROTIN)")</f>
        <v xml:space="preserve">   NATTES, PAILLASSONS ET CLAIES, EN MATIÈRES À TRESSER VÉGÉTALES, TISSÉS OU PARALLÉLISÉS, À PLAT (SAUF EN BAMBOU ET EN ROTIN)</v>
      </c>
      <c r="C432">
        <v>1300000</v>
      </c>
      <c r="D432">
        <v>400</v>
      </c>
    </row>
    <row r="433" spans="1:4" x14ac:dyDescent="0.25">
      <c r="A433" t="str">
        <f>T("   481960")</f>
        <v xml:space="preserve">   481960</v>
      </c>
      <c r="B433" t="str">
        <f>T("   Cartonnages de bureau, de magasin ou simil., rigides (à l'excl. des emballages)")</f>
        <v xml:space="preserve">   Cartonnages de bureau, de magasin ou simil., rigides (à l'excl. des emballages)</v>
      </c>
      <c r="C433">
        <v>1478400</v>
      </c>
      <c r="D433">
        <v>2213</v>
      </c>
    </row>
    <row r="434" spans="1:4" x14ac:dyDescent="0.25">
      <c r="A434" t="str">
        <f>T("   620590")</f>
        <v xml:space="preserve">   620590</v>
      </c>
      <c r="B43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434">
        <v>800000</v>
      </c>
      <c r="D434">
        <v>800</v>
      </c>
    </row>
    <row r="435" spans="1:4" x14ac:dyDescent="0.25">
      <c r="A435" t="str">
        <f>T("   630900")</f>
        <v xml:space="preserve">   630900</v>
      </c>
      <c r="B435" t="s">
        <v>56</v>
      </c>
      <c r="C435">
        <v>3761000</v>
      </c>
      <c r="D435">
        <v>5830</v>
      </c>
    </row>
    <row r="436" spans="1:4" x14ac:dyDescent="0.25">
      <c r="A436" t="str">
        <f>T("   640319")</f>
        <v xml:space="preserve">   640319</v>
      </c>
      <c r="B436" t="s">
        <v>58</v>
      </c>
      <c r="C436">
        <v>8598000</v>
      </c>
      <c r="D436">
        <v>7650</v>
      </c>
    </row>
    <row r="437" spans="1:4" x14ac:dyDescent="0.25">
      <c r="A437" t="str">
        <f>T("   640590")</f>
        <v xml:space="preserve">   640590</v>
      </c>
      <c r="B437" t="s">
        <v>59</v>
      </c>
      <c r="C437">
        <v>500000</v>
      </c>
      <c r="D437">
        <v>1200</v>
      </c>
    </row>
    <row r="438" spans="1:4" x14ac:dyDescent="0.25">
      <c r="A438" t="str">
        <f>T("   650200")</f>
        <v xml:space="preserve">   650200</v>
      </c>
      <c r="B438" t="str">
        <f>T("   Cloches ou formes pour chapeaux, tressées ou fabriquées par l'assemblage de bandes en toutes matières (sauf dressées -mises en forme-, tournurées -mises en tournure-, ou garnies)")</f>
        <v xml:space="preserve">   Cloches ou formes pour chapeaux, tressées ou fabriquées par l'assemblage de bandes en toutes matières (sauf dressées -mises en forme-, tournurées -mises en tournure-, ou garnies)</v>
      </c>
      <c r="C438">
        <v>72000</v>
      </c>
      <c r="D438">
        <v>1270</v>
      </c>
    </row>
    <row r="439" spans="1:4" x14ac:dyDescent="0.25">
      <c r="A439" t="str">
        <f>T("   670490")</f>
        <v xml:space="preserve">   670490</v>
      </c>
      <c r="B439" t="str">
        <f>T("   Perruques, barbes, sourcils, cils, mèches et articles simil., en poils ou matières textiles (sauf matières textiles synthétiques)")</f>
        <v xml:space="preserve">   Perruques, barbes, sourcils, cils, mèches et articles simil., en poils ou matières textiles (sauf matières textiles synthétiques)</v>
      </c>
      <c r="C439">
        <v>350000</v>
      </c>
      <c r="D439">
        <v>800</v>
      </c>
    </row>
    <row r="440" spans="1:4" x14ac:dyDescent="0.25">
      <c r="A440" t="str">
        <f>T("   720429")</f>
        <v xml:space="preserve">   720429</v>
      </c>
      <c r="B440"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440">
        <v>1000000</v>
      </c>
      <c r="D440">
        <v>20000</v>
      </c>
    </row>
    <row r="441" spans="1:4" x14ac:dyDescent="0.25">
      <c r="A441" t="str">
        <f>T("   732394")</f>
        <v xml:space="preserve">   732394</v>
      </c>
      <c r="B441" t="s">
        <v>67</v>
      </c>
      <c r="C441">
        <v>650000</v>
      </c>
      <c r="D441">
        <v>800</v>
      </c>
    </row>
    <row r="442" spans="1:4" x14ac:dyDescent="0.25">
      <c r="A442" t="str">
        <f>T("   760410")</f>
        <v xml:space="preserve">   760410</v>
      </c>
      <c r="B442" t="str">
        <f>T("   BARRES ET PROFILÉS EN ALUMINIUM NON-ALLIÉ, N.D.A.")</f>
        <v xml:space="preserve">   BARRES ET PROFILÉS EN ALUMINIUM NON-ALLIÉ, N.D.A.</v>
      </c>
      <c r="C442">
        <v>1200000</v>
      </c>
      <c r="D442">
        <v>120</v>
      </c>
    </row>
    <row r="443" spans="1:4" x14ac:dyDescent="0.25">
      <c r="A443" t="str">
        <f>T("   760429")</f>
        <v xml:space="preserve">   760429</v>
      </c>
      <c r="B443" t="str">
        <f>T("   Barres et profilés pleins en alliages d'aluminium, n.d.a.")</f>
        <v xml:space="preserve">   Barres et profilés pleins en alliages d'aluminium, n.d.a.</v>
      </c>
      <c r="C443">
        <v>8050000</v>
      </c>
      <c r="D443">
        <v>6700</v>
      </c>
    </row>
    <row r="444" spans="1:4" x14ac:dyDescent="0.25">
      <c r="A444" t="str">
        <f>T("   761519")</f>
        <v xml:space="preserve">   761519</v>
      </c>
      <c r="B444" t="s">
        <v>71</v>
      </c>
      <c r="C444">
        <v>250000</v>
      </c>
      <c r="D444">
        <v>200</v>
      </c>
    </row>
    <row r="445" spans="1:4" x14ac:dyDescent="0.25">
      <c r="A445" t="str">
        <f>T("   841440")</f>
        <v xml:space="preserve">   841440</v>
      </c>
      <c r="B445" t="str">
        <f>T("   Compresseurs d'air montés sur châssis à roues et remorquables")</f>
        <v xml:space="preserve">   Compresseurs d'air montés sur châssis à roues et remorquables</v>
      </c>
      <c r="C445">
        <v>2500520</v>
      </c>
      <c r="D445">
        <v>1000</v>
      </c>
    </row>
    <row r="446" spans="1:4" x14ac:dyDescent="0.25">
      <c r="A446" t="str">
        <f>T("   842612")</f>
        <v xml:space="preserve">   842612</v>
      </c>
      <c r="B446" t="str">
        <f>T("   Portiques mobiles sur pneumatiques et chariots-cavaliers")</f>
        <v xml:space="preserve">   Portiques mobiles sur pneumatiques et chariots-cavaliers</v>
      </c>
      <c r="C446">
        <v>150000</v>
      </c>
      <c r="D446">
        <v>100</v>
      </c>
    </row>
    <row r="447" spans="1:4" x14ac:dyDescent="0.25">
      <c r="A447" t="str">
        <f>T("   842959")</f>
        <v xml:space="preserve">   842959</v>
      </c>
      <c r="B447"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447">
        <v>2400000</v>
      </c>
      <c r="D447">
        <v>990</v>
      </c>
    </row>
    <row r="448" spans="1:4" x14ac:dyDescent="0.25">
      <c r="A448" t="str">
        <f>T("   844230")</f>
        <v xml:space="preserve">   844230</v>
      </c>
      <c r="B448" t="s">
        <v>77</v>
      </c>
      <c r="C448">
        <v>3650000</v>
      </c>
      <c r="D448">
        <v>1600</v>
      </c>
    </row>
    <row r="449" spans="1:4" x14ac:dyDescent="0.25">
      <c r="A449" t="str">
        <f>T("   847989")</f>
        <v xml:space="preserve">   847989</v>
      </c>
      <c r="B449" t="str">
        <f>T("   Machines et appareils, y.c. les appareils mécaniques, n.d.a.")</f>
        <v xml:space="preserve">   Machines et appareils, y.c. les appareils mécaniques, n.d.a.</v>
      </c>
      <c r="C449">
        <v>3900000</v>
      </c>
      <c r="D449">
        <v>1802</v>
      </c>
    </row>
    <row r="450" spans="1:4" x14ac:dyDescent="0.25">
      <c r="A450" t="str">
        <f>T("   850140")</f>
        <v xml:space="preserve">   850140</v>
      </c>
      <c r="B450" t="str">
        <f>T("   Moteurs à courant alternatif, monophasés")</f>
        <v xml:space="preserve">   Moteurs à courant alternatif, monophasés</v>
      </c>
      <c r="C450">
        <v>2550000</v>
      </c>
      <c r="D450">
        <v>3600</v>
      </c>
    </row>
    <row r="451" spans="1:4" x14ac:dyDescent="0.25">
      <c r="A451" t="str">
        <f>T("   850212")</f>
        <v xml:space="preserve">   850212</v>
      </c>
      <c r="B451"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451">
        <v>2999705</v>
      </c>
      <c r="D451">
        <v>1000</v>
      </c>
    </row>
    <row r="452" spans="1:4" x14ac:dyDescent="0.25">
      <c r="A452" t="str">
        <f>T("   870322")</f>
        <v xml:space="preserve">   870322</v>
      </c>
      <c r="B452" t="s">
        <v>87</v>
      </c>
      <c r="C452">
        <v>19986885</v>
      </c>
      <c r="D452">
        <v>26795</v>
      </c>
    </row>
    <row r="453" spans="1:4" x14ac:dyDescent="0.25">
      <c r="A453" t="str">
        <f>T("   870323")</f>
        <v xml:space="preserve">   870323</v>
      </c>
      <c r="B453" t="s">
        <v>88</v>
      </c>
      <c r="C453">
        <v>35024740</v>
      </c>
      <c r="D453">
        <v>6340</v>
      </c>
    </row>
    <row r="454" spans="1:4" x14ac:dyDescent="0.25">
      <c r="A454" t="str">
        <f>T("   870324")</f>
        <v xml:space="preserve">   870324</v>
      </c>
      <c r="B454" t="s">
        <v>89</v>
      </c>
      <c r="C454">
        <v>655250</v>
      </c>
      <c r="D454">
        <v>1100</v>
      </c>
    </row>
    <row r="455" spans="1:4" x14ac:dyDescent="0.25">
      <c r="A455" t="str">
        <f>T("   870422")</f>
        <v xml:space="preserve">   870422</v>
      </c>
      <c r="B455" t="s">
        <v>94</v>
      </c>
      <c r="C455">
        <v>24694384</v>
      </c>
      <c r="D455">
        <v>52615</v>
      </c>
    </row>
    <row r="456" spans="1:4" x14ac:dyDescent="0.25">
      <c r="A456" t="str">
        <f>T("   870899")</f>
        <v xml:space="preserve">   870899</v>
      </c>
      <c r="B456"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456">
        <v>4430000</v>
      </c>
      <c r="D456">
        <v>8300</v>
      </c>
    </row>
    <row r="457" spans="1:4" x14ac:dyDescent="0.25">
      <c r="A457" t="str">
        <f>T("   871120")</f>
        <v xml:space="preserve">   871120</v>
      </c>
      <c r="B457" t="str">
        <f>T("   Motocycles à moteur à piston alternatif, cylindrée &gt; 50 cm³ mais &lt;= 250 cm³")</f>
        <v xml:space="preserve">   Motocycles à moteur à piston alternatif, cylindrée &gt; 50 cm³ mais &lt;= 250 cm³</v>
      </c>
      <c r="C457">
        <v>5475000</v>
      </c>
      <c r="D457">
        <v>4635</v>
      </c>
    </row>
    <row r="458" spans="1:4" x14ac:dyDescent="0.25">
      <c r="A458" t="str">
        <f>T("   871130")</f>
        <v xml:space="preserve">   871130</v>
      </c>
      <c r="B458" t="str">
        <f>T("   Motocycles à moteur à piston alternatif, cylindrée &gt; 250 cm³ mais &lt;= 500 cm³")</f>
        <v xml:space="preserve">   Motocycles à moteur à piston alternatif, cylindrée &gt; 250 cm³ mais &lt;= 500 cm³</v>
      </c>
      <c r="C458">
        <v>7680000</v>
      </c>
      <c r="D458">
        <v>620</v>
      </c>
    </row>
    <row r="459" spans="1:4" x14ac:dyDescent="0.25">
      <c r="A459" t="str">
        <f>T("   890399")</f>
        <v xml:space="preserve">   890399</v>
      </c>
      <c r="B459"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459">
        <v>32500000</v>
      </c>
      <c r="D459">
        <v>3400</v>
      </c>
    </row>
    <row r="460" spans="1:4" x14ac:dyDescent="0.25">
      <c r="A460" t="str">
        <f>T("   940350")</f>
        <v xml:space="preserve">   940350</v>
      </c>
      <c r="B460" t="str">
        <f>T("   Meubles pour chambres à coucher, en bois (sauf sièges)")</f>
        <v xml:space="preserve">   Meubles pour chambres à coucher, en bois (sauf sièges)</v>
      </c>
      <c r="C460">
        <v>4004000</v>
      </c>
      <c r="D460">
        <v>2525</v>
      </c>
    </row>
    <row r="461" spans="1:4" x14ac:dyDescent="0.25">
      <c r="A461" t="str">
        <f>T("   940389")</f>
        <v xml:space="preserve">   940389</v>
      </c>
      <c r="B461"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461">
        <v>4000000</v>
      </c>
      <c r="D461">
        <v>14000</v>
      </c>
    </row>
    <row r="462" spans="1:4" x14ac:dyDescent="0.25">
      <c r="A462" t="str">
        <f>T("   960310")</f>
        <v xml:space="preserve">   960310</v>
      </c>
      <c r="B462" t="str">
        <f>T("   Balais et balayettes consistant en matières végétales en bottes liées")</f>
        <v xml:space="preserve">   Balais et balayettes consistant en matières végétales en bottes liées</v>
      </c>
      <c r="C462">
        <v>330000</v>
      </c>
      <c r="D462">
        <v>1000</v>
      </c>
    </row>
    <row r="463" spans="1:4" x14ac:dyDescent="0.25">
      <c r="A463" t="str">
        <f>T("GB")</f>
        <v>GB</v>
      </c>
      <c r="B463" t="str">
        <f>T("Royaume-Uni")</f>
        <v>Royaume-Uni</v>
      </c>
    </row>
    <row r="464" spans="1:4" x14ac:dyDescent="0.25">
      <c r="A464" t="str">
        <f>T("   ZZ_Total_Produit_SH6")</f>
        <v xml:space="preserve">   ZZ_Total_Produit_SH6</v>
      </c>
      <c r="B464" t="str">
        <f>T("   ZZ_Total_Produit_SH6")</f>
        <v xml:space="preserve">   ZZ_Total_Produit_SH6</v>
      </c>
      <c r="C464">
        <v>301258017</v>
      </c>
      <c r="D464">
        <v>264195</v>
      </c>
    </row>
    <row r="465" spans="1:4" x14ac:dyDescent="0.25">
      <c r="A465" t="str">
        <f>T("   080211")</f>
        <v xml:space="preserve">   080211</v>
      </c>
      <c r="B465" t="str">
        <f>T("   Amandes, fraîches ou sèches, en coques")</f>
        <v xml:space="preserve">   Amandes, fraîches ou sèches, en coques</v>
      </c>
      <c r="C465">
        <v>271424833</v>
      </c>
      <c r="D465">
        <v>95469</v>
      </c>
    </row>
    <row r="466" spans="1:4" x14ac:dyDescent="0.25">
      <c r="A466" t="str">
        <f>T("   230610")</f>
        <v xml:space="preserve">   230610</v>
      </c>
      <c r="B466"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466">
        <v>3094400</v>
      </c>
      <c r="D466">
        <v>154720</v>
      </c>
    </row>
    <row r="467" spans="1:4" x14ac:dyDescent="0.25">
      <c r="A467" t="str">
        <f>T("   640590")</f>
        <v xml:space="preserve">   640590</v>
      </c>
      <c r="B467" t="s">
        <v>59</v>
      </c>
      <c r="C467">
        <v>6000000</v>
      </c>
      <c r="D467">
        <v>10000</v>
      </c>
    </row>
    <row r="468" spans="1:4" x14ac:dyDescent="0.25">
      <c r="A468" t="str">
        <f>T("   732690")</f>
        <v xml:space="preserve">   732690</v>
      </c>
      <c r="B468"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468">
        <v>18803042</v>
      </c>
      <c r="D468">
        <v>1406</v>
      </c>
    </row>
    <row r="469" spans="1:4" x14ac:dyDescent="0.25">
      <c r="A469" t="str">
        <f>T("   940350")</f>
        <v xml:space="preserve">   940350</v>
      </c>
      <c r="B469" t="str">
        <f>T("   Meubles pour chambres à coucher, en bois (sauf sièges)")</f>
        <v xml:space="preserve">   Meubles pour chambres à coucher, en bois (sauf sièges)</v>
      </c>
      <c r="C469">
        <v>1935742</v>
      </c>
      <c r="D469">
        <v>2600</v>
      </c>
    </row>
    <row r="470" spans="1:4" x14ac:dyDescent="0.25">
      <c r="A470" t="str">
        <f>T("GD")</f>
        <v>GD</v>
      </c>
      <c r="B470" t="str">
        <f>T("Grenade")</f>
        <v>Grenade</v>
      </c>
    </row>
    <row r="471" spans="1:4" x14ac:dyDescent="0.25">
      <c r="A471" t="str">
        <f>T("   ZZ_Total_Produit_SH6")</f>
        <v xml:space="preserve">   ZZ_Total_Produit_SH6</v>
      </c>
      <c r="B471" t="str">
        <f>T("   ZZ_Total_Produit_SH6")</f>
        <v xml:space="preserve">   ZZ_Total_Produit_SH6</v>
      </c>
      <c r="C471">
        <v>28009364</v>
      </c>
      <c r="D471">
        <v>230</v>
      </c>
    </row>
    <row r="472" spans="1:4" x14ac:dyDescent="0.25">
      <c r="A472" t="str">
        <f>T("   121230")</f>
        <v xml:space="preserve">   121230</v>
      </c>
      <c r="B472" t="str">
        <f>T("   Noyaux et amandes d'abricots, de pêches [y.c. des brugnons et nectarines] ou de prunes")</f>
        <v xml:space="preserve">   Noyaux et amandes d'abricots, de pêches [y.c. des brugnons et nectarines] ou de prunes</v>
      </c>
      <c r="C472">
        <v>28009364</v>
      </c>
      <c r="D472">
        <v>230</v>
      </c>
    </row>
    <row r="473" spans="1:4" x14ac:dyDescent="0.25">
      <c r="A473" t="str">
        <f>T("GH")</f>
        <v>GH</v>
      </c>
      <c r="B473" t="str">
        <f>T("Ghana")</f>
        <v>Ghana</v>
      </c>
    </row>
    <row r="474" spans="1:4" x14ac:dyDescent="0.25">
      <c r="A474" t="str">
        <f>T("   ZZ_Total_Produit_SH6")</f>
        <v xml:space="preserve">   ZZ_Total_Produit_SH6</v>
      </c>
      <c r="B474" t="str">
        <f>T("   ZZ_Total_Produit_SH6")</f>
        <v xml:space="preserve">   ZZ_Total_Produit_SH6</v>
      </c>
      <c r="C474">
        <v>5770534901</v>
      </c>
      <c r="D474">
        <v>25154718.649999999</v>
      </c>
    </row>
    <row r="475" spans="1:4" x14ac:dyDescent="0.25">
      <c r="A475" t="str">
        <f>T("   030379")</f>
        <v xml:space="preserve">   030379</v>
      </c>
      <c r="B475" t="s">
        <v>13</v>
      </c>
      <c r="C475">
        <v>9000000</v>
      </c>
      <c r="D475">
        <v>29700</v>
      </c>
    </row>
    <row r="476" spans="1:4" x14ac:dyDescent="0.25">
      <c r="A476" t="str">
        <f>T("   060499")</f>
        <v xml:space="preserve">   060499</v>
      </c>
      <c r="B476" t="str">
        <f>T("   Feuillages, feuilles, rameaux et autres parties de plantes, sans fleurs ni boutons de fleurs, et herbes, pour bouquets ou pour ornements, séchés, blanchis, teints, imprégnés ou autrement travaillés")</f>
        <v xml:space="preserve">   Feuillages, feuilles, rameaux et autres parties de plantes, sans fleurs ni boutons de fleurs, et herbes, pour bouquets ou pour ornements, séchés, blanchis, teints, imprégnés ou autrement travaillés</v>
      </c>
      <c r="C476">
        <v>207500</v>
      </c>
      <c r="D476">
        <v>400</v>
      </c>
    </row>
    <row r="477" spans="1:4" x14ac:dyDescent="0.25">
      <c r="A477" t="str">
        <f>T("   120720")</f>
        <v xml:space="preserve">   120720</v>
      </c>
      <c r="B477" t="str">
        <f>T("   Graines de coton, même concassées")</f>
        <v xml:space="preserve">   Graines de coton, même concassées</v>
      </c>
      <c r="C477">
        <v>40013377</v>
      </c>
      <c r="D477">
        <v>372</v>
      </c>
    </row>
    <row r="478" spans="1:4" x14ac:dyDescent="0.25">
      <c r="A478" t="str">
        <f>T("   120799")</f>
        <v xml:space="preserve">   120799</v>
      </c>
      <c r="B478" t="s">
        <v>16</v>
      </c>
      <c r="C478">
        <v>94458096</v>
      </c>
      <c r="D478">
        <v>1086</v>
      </c>
    </row>
    <row r="479" spans="1:4" x14ac:dyDescent="0.25">
      <c r="A479" t="str">
        <f>T("   200941")</f>
        <v xml:space="preserve">   200941</v>
      </c>
      <c r="B479" t="str">
        <f>T("   JUS D'ANANAS, NON-FERMENTÉS, SANS ADDITION D'ALCOOL, AVEC OU SANS ADDITION DE SUCRE OU D'AUTRES ÉDULCORANTS, D'UNE VALEUR BRIX &lt;= 20 À 20°C")</f>
        <v xml:space="preserve">   JUS D'ANANAS, NON-FERMENTÉS, SANS ADDITION D'ALCOOL, AVEC OU SANS ADDITION DE SUCRE OU D'AUTRES ÉDULCORANTS, D'UNE VALEUR BRIX &lt;= 20 À 20°C</v>
      </c>
      <c r="C479">
        <v>3420000</v>
      </c>
      <c r="D479">
        <v>15000</v>
      </c>
    </row>
    <row r="480" spans="1:4" x14ac:dyDescent="0.25">
      <c r="A480" t="str">
        <f>T("   210111")</f>
        <v xml:space="preserve">   210111</v>
      </c>
      <c r="B480" t="str">
        <f>T("   Extraits, essences et concentrés de café")</f>
        <v xml:space="preserve">   Extraits, essences et concentrés de café</v>
      </c>
      <c r="C480">
        <v>184443018</v>
      </c>
      <c r="D480">
        <v>137000</v>
      </c>
    </row>
    <row r="481" spans="1:4" x14ac:dyDescent="0.25">
      <c r="A481" t="str">
        <f>T("   220110")</f>
        <v xml:space="preserve">   220110</v>
      </c>
      <c r="B481" t="str">
        <f>T("   Eaux minérales et eaux gazéifiées, non additionnées de sucre ou d'autres édulcorants ni aromatisées")</f>
        <v xml:space="preserve">   Eaux minérales et eaux gazéifiées, non additionnées de sucre ou d'autres édulcorants ni aromatisées</v>
      </c>
      <c r="C481">
        <v>10178565</v>
      </c>
      <c r="D481">
        <v>47078</v>
      </c>
    </row>
    <row r="482" spans="1:4" x14ac:dyDescent="0.25">
      <c r="A482" t="str">
        <f>T("   220210")</f>
        <v xml:space="preserve">   220210</v>
      </c>
      <c r="B482"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482">
        <v>10640865</v>
      </c>
      <c r="D482">
        <v>26956</v>
      </c>
    </row>
    <row r="483" spans="1:4" x14ac:dyDescent="0.25">
      <c r="A483" t="str">
        <f>T("   230400")</f>
        <v xml:space="preserve">   230400</v>
      </c>
      <c r="B483"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483">
        <v>1204686217</v>
      </c>
      <c r="D483">
        <v>3325216</v>
      </c>
    </row>
    <row r="484" spans="1:4" x14ac:dyDescent="0.25">
      <c r="A484" t="str">
        <f>T("   230610")</f>
        <v xml:space="preserve">   230610</v>
      </c>
      <c r="B484"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484">
        <v>526210000</v>
      </c>
      <c r="D484">
        <v>3322908</v>
      </c>
    </row>
    <row r="485" spans="1:4" x14ac:dyDescent="0.25">
      <c r="A485" t="str">
        <f>T("   230649")</f>
        <v xml:space="preserve">   230649</v>
      </c>
      <c r="B485" t="s">
        <v>23</v>
      </c>
      <c r="C485">
        <v>21000000</v>
      </c>
      <c r="D485">
        <v>60000</v>
      </c>
    </row>
    <row r="486" spans="1:4" x14ac:dyDescent="0.25">
      <c r="A486" t="str">
        <f>T("   251520")</f>
        <v xml:space="preserve">   251520</v>
      </c>
      <c r="B486" t="s">
        <v>25</v>
      </c>
      <c r="C486">
        <v>177642360</v>
      </c>
      <c r="D486">
        <v>15715000</v>
      </c>
    </row>
    <row r="487" spans="1:4" x14ac:dyDescent="0.25">
      <c r="A487" t="str">
        <f>T("   320820")</f>
        <v xml:space="preserve">   320820</v>
      </c>
      <c r="B487" t="s">
        <v>31</v>
      </c>
      <c r="C487">
        <v>7400482</v>
      </c>
      <c r="D487">
        <v>780</v>
      </c>
    </row>
    <row r="488" spans="1:4" x14ac:dyDescent="0.25">
      <c r="A488" t="str">
        <f>T("   320910")</f>
        <v xml:space="preserve">   320910</v>
      </c>
      <c r="B488" t="str">
        <f>T("   Peintures et vernis à base de polymères acryliques ou vinyliques, dispersés ou dissous dans un milieu aqueux")</f>
        <v xml:space="preserve">   Peintures et vernis à base de polymères acryliques ou vinyliques, dispersés ou dissous dans un milieu aqueux</v>
      </c>
      <c r="C488">
        <v>16016435</v>
      </c>
      <c r="D488">
        <v>30715</v>
      </c>
    </row>
    <row r="489" spans="1:4" x14ac:dyDescent="0.25">
      <c r="A489" t="str">
        <f>T("   320990")</f>
        <v xml:space="preserve">   320990</v>
      </c>
      <c r="B489"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489">
        <v>27905871</v>
      </c>
      <c r="D489">
        <v>73307</v>
      </c>
    </row>
    <row r="490" spans="1:4" x14ac:dyDescent="0.25">
      <c r="A490" t="str">
        <f>T("   350510")</f>
        <v xml:space="preserve">   350510</v>
      </c>
      <c r="B490" t="str">
        <f>T("   DEXTRINE ET AUTRES AMIDONS ET FÉCULES MODIFIÉS [LES AMIDONS ET FÉCULES PRÉ-GÉLATINISÉS OU ESTÉRIFIÉS, P.EX.]")</f>
        <v xml:space="preserve">   DEXTRINE ET AUTRES AMIDONS ET FÉCULES MODIFIÉS [LES AMIDONS ET FÉCULES PRÉ-GÉLATINISÉS OU ESTÉRIFIÉS, P.EX.]</v>
      </c>
      <c r="C490">
        <v>32288077</v>
      </c>
      <c r="D490">
        <v>44232.15</v>
      </c>
    </row>
    <row r="491" spans="1:4" x14ac:dyDescent="0.25">
      <c r="A491" t="str">
        <f>T("   391723")</f>
        <v xml:space="preserve">   391723</v>
      </c>
      <c r="B491" t="str">
        <f>T("   TUBES ET TUYAUX RIGIDES, EN POLYMÈRES DU CHLORURE DE VINYLE")</f>
        <v xml:space="preserve">   TUBES ET TUYAUX RIGIDES, EN POLYMÈRES DU CHLORURE DE VINYLE</v>
      </c>
      <c r="C491">
        <v>1255800</v>
      </c>
      <c r="D491">
        <v>1211</v>
      </c>
    </row>
    <row r="492" spans="1:4" x14ac:dyDescent="0.25">
      <c r="A492" t="str">
        <f>T("   391739")</f>
        <v xml:space="preserve">   391739</v>
      </c>
      <c r="B492"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492">
        <v>11418500</v>
      </c>
      <c r="D492">
        <v>10132.5</v>
      </c>
    </row>
    <row r="493" spans="1:4" x14ac:dyDescent="0.25">
      <c r="A493" t="str">
        <f>T("   400941")</f>
        <v xml:space="preserve">   400941</v>
      </c>
      <c r="B493"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493">
        <v>11228874</v>
      </c>
      <c r="D493">
        <v>14588</v>
      </c>
    </row>
    <row r="494" spans="1:4" x14ac:dyDescent="0.25">
      <c r="A494" t="str">
        <f>T("   440399")</f>
        <v xml:space="preserve">   440399</v>
      </c>
      <c r="B494" t="s">
        <v>46</v>
      </c>
      <c r="C494">
        <v>25044232</v>
      </c>
      <c r="D494">
        <v>68400</v>
      </c>
    </row>
    <row r="495" spans="1:4" x14ac:dyDescent="0.25">
      <c r="A495" t="str">
        <f>T("   481910")</f>
        <v xml:space="preserve">   481910</v>
      </c>
      <c r="B495" t="str">
        <f>T("   Boîtes et caisses en papier ou en carton ondulé")</f>
        <v xml:space="preserve">   Boîtes et caisses en papier ou en carton ondulé</v>
      </c>
      <c r="C495">
        <v>414150</v>
      </c>
      <c r="D495">
        <v>875</v>
      </c>
    </row>
    <row r="496" spans="1:4" x14ac:dyDescent="0.25">
      <c r="A496" t="str">
        <f>T("   481920")</f>
        <v xml:space="preserve">   481920</v>
      </c>
      <c r="B496" t="str">
        <f>T("   Boîtes et cartonnages, pliants, en papier ou en carton non ondulé")</f>
        <v xml:space="preserve">   Boîtes et cartonnages, pliants, en papier ou en carton non ondulé</v>
      </c>
      <c r="C496">
        <v>3365600</v>
      </c>
      <c r="D496">
        <v>8636</v>
      </c>
    </row>
    <row r="497" spans="1:4" x14ac:dyDescent="0.25">
      <c r="A497" t="str">
        <f>T("   482020")</f>
        <v xml:space="preserve">   482020</v>
      </c>
      <c r="B497" t="str">
        <f>T("   Cahiers pour l'écriture, en papier ou carton")</f>
        <v xml:space="preserve">   Cahiers pour l'écriture, en papier ou carton</v>
      </c>
      <c r="C497">
        <v>5200000</v>
      </c>
      <c r="D497">
        <v>1544</v>
      </c>
    </row>
    <row r="498" spans="1:4" x14ac:dyDescent="0.25">
      <c r="A498" t="str">
        <f>T("   520812")</f>
        <v xml:space="preserve">   520812</v>
      </c>
      <c r="B498" t="str">
        <f>T("   Tissus de coton, écrus, à armure toile, contenant &gt;= 85% en poids de coton, d'un poids &gt; 100 g/m² mais &lt;= 200 g/m²")</f>
        <v xml:space="preserve">   Tissus de coton, écrus, à armure toile, contenant &gt;= 85% en poids de coton, d'un poids &gt; 100 g/m² mais &lt;= 200 g/m²</v>
      </c>
      <c r="C498">
        <v>1698608046</v>
      </c>
      <c r="D498">
        <v>631996</v>
      </c>
    </row>
    <row r="499" spans="1:4" x14ac:dyDescent="0.25">
      <c r="A499" t="str">
        <f>T("   720429")</f>
        <v xml:space="preserve">   720429</v>
      </c>
      <c r="B499"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499">
        <v>10000000</v>
      </c>
      <c r="D499">
        <v>200000</v>
      </c>
    </row>
    <row r="500" spans="1:4" x14ac:dyDescent="0.25">
      <c r="A500" t="str">
        <f>T("   730799")</f>
        <v xml:space="preserve">   730799</v>
      </c>
      <c r="B500"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500">
        <v>886672</v>
      </c>
      <c r="D500">
        <v>1087</v>
      </c>
    </row>
    <row r="501" spans="1:4" x14ac:dyDescent="0.25">
      <c r="A501" t="str">
        <f>T("   731021")</f>
        <v xml:space="preserve">   731021</v>
      </c>
      <c r="B501"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501">
        <v>2436573</v>
      </c>
      <c r="D501">
        <v>5147</v>
      </c>
    </row>
    <row r="502" spans="1:4" x14ac:dyDescent="0.25">
      <c r="A502" t="str">
        <f>T("   732690")</f>
        <v xml:space="preserve">   732690</v>
      </c>
      <c r="B502"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502">
        <v>200082591</v>
      </c>
      <c r="D502">
        <v>307468</v>
      </c>
    </row>
    <row r="503" spans="1:4" x14ac:dyDescent="0.25">
      <c r="A503" t="str">
        <f>T("   820559")</f>
        <v xml:space="preserve">   820559</v>
      </c>
      <c r="B503" t="str">
        <f>T("   Outils à main, y.c. -les diamants de vitrier-, en métaux communs, n.d.a.")</f>
        <v xml:space="preserve">   Outils à main, y.c. -les diamants de vitrier-, en métaux communs, n.d.a.</v>
      </c>
      <c r="C503">
        <v>62655331</v>
      </c>
      <c r="D503">
        <v>83202</v>
      </c>
    </row>
    <row r="504" spans="1:4" x14ac:dyDescent="0.25">
      <c r="A504" t="str">
        <f>T("   820719")</f>
        <v xml:space="preserve">   820719</v>
      </c>
      <c r="B504"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504">
        <v>17377480</v>
      </c>
      <c r="D504">
        <v>13200</v>
      </c>
    </row>
    <row r="505" spans="1:4" x14ac:dyDescent="0.25">
      <c r="A505" t="str">
        <f>T("   842911")</f>
        <v xml:space="preserve">   842911</v>
      </c>
      <c r="B505" t="str">
        <f>T("   Bouteurs 'bulldozers' et bouteurs biais 'angledozers', à chenilles")</f>
        <v xml:space="preserve">   Bouteurs 'bulldozers' et bouteurs biais 'angledozers', à chenilles</v>
      </c>
      <c r="C505">
        <v>206360175</v>
      </c>
      <c r="D505">
        <v>36888</v>
      </c>
    </row>
    <row r="506" spans="1:4" x14ac:dyDescent="0.25">
      <c r="A506" t="str">
        <f>T("   842919")</f>
        <v xml:space="preserve">   842919</v>
      </c>
      <c r="B506" t="str">
        <f>T("   Bouteurs 'bulldozers' et bouteurs biais 'angledozers', sur roues")</f>
        <v xml:space="preserve">   Bouteurs 'bulldozers' et bouteurs biais 'angledozers', sur roues</v>
      </c>
      <c r="C506">
        <v>97364227</v>
      </c>
      <c r="D506">
        <v>109525</v>
      </c>
    </row>
    <row r="507" spans="1:4" x14ac:dyDescent="0.25">
      <c r="A507" t="str">
        <f>T("   842920")</f>
        <v xml:space="preserve">   842920</v>
      </c>
      <c r="B507" t="str">
        <f>T("   Niveleuses autopropulsées")</f>
        <v xml:space="preserve">   Niveleuses autopropulsées</v>
      </c>
      <c r="C507">
        <v>238057301</v>
      </c>
      <c r="D507">
        <v>56053</v>
      </c>
    </row>
    <row r="508" spans="1:4" x14ac:dyDescent="0.25">
      <c r="A508" t="str">
        <f>T("   842940")</f>
        <v xml:space="preserve">   842940</v>
      </c>
      <c r="B508" t="str">
        <f>T("   Rouleaux compresseurs et autres compacteuses, autopropulsés")</f>
        <v xml:space="preserve">   Rouleaux compresseurs et autres compacteuses, autopropulsés</v>
      </c>
      <c r="C508">
        <v>203789697</v>
      </c>
      <c r="D508">
        <v>105550</v>
      </c>
    </row>
    <row r="509" spans="1:4" x14ac:dyDescent="0.25">
      <c r="A509" t="str">
        <f>T("   842951")</f>
        <v xml:space="preserve">   842951</v>
      </c>
      <c r="B509" t="str">
        <f>T("   Chargeuses et chargeuses-pelleteuses, à chargement frontal, autopropulsées")</f>
        <v xml:space="preserve">   Chargeuses et chargeuses-pelleteuses, à chargement frontal, autopropulsées</v>
      </c>
      <c r="C509">
        <v>201619716</v>
      </c>
      <c r="D509">
        <v>50000</v>
      </c>
    </row>
    <row r="510" spans="1:4" x14ac:dyDescent="0.25">
      <c r="A510" t="str">
        <f>T("   842959")</f>
        <v xml:space="preserve">   842959</v>
      </c>
      <c r="B510"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510">
        <v>5376720</v>
      </c>
      <c r="D510">
        <v>15000</v>
      </c>
    </row>
    <row r="511" spans="1:4" x14ac:dyDescent="0.25">
      <c r="A511" t="str">
        <f>T("   843061")</f>
        <v xml:space="preserve">   843061</v>
      </c>
      <c r="B511" t="str">
        <f>T("   Machines et appareils à tasser ou à compacter, non autopropulsés (sauf outillage pour emploi à la main)")</f>
        <v xml:space="preserve">   Machines et appareils à tasser ou à compacter, non autopropulsés (sauf outillage pour emploi à la main)</v>
      </c>
      <c r="C511">
        <v>2113934</v>
      </c>
      <c r="D511">
        <v>9900</v>
      </c>
    </row>
    <row r="512" spans="1:4" x14ac:dyDescent="0.25">
      <c r="A512" t="str">
        <f>T("   843143")</f>
        <v xml:space="preserve">   843143</v>
      </c>
      <c r="B512" t="str">
        <f>T("   Parties de machines de sondage ou de forage du n° 8430.41 ou 8430.49, n.d.a.")</f>
        <v xml:space="preserve">   Parties de machines de sondage ou de forage du n° 8430.41 ou 8430.49, n.d.a.</v>
      </c>
      <c r="C512">
        <v>67028602</v>
      </c>
      <c r="D512">
        <v>8700</v>
      </c>
    </row>
    <row r="513" spans="1:4" x14ac:dyDescent="0.25">
      <c r="A513" t="str">
        <f>T("   843149")</f>
        <v xml:space="preserve">   843149</v>
      </c>
      <c r="B513" t="str">
        <f>T("   Parties de machines et appareils du n° 8426, 8429 ou 8430, n.d.a.")</f>
        <v xml:space="preserve">   Parties de machines et appareils du n° 8426, 8429 ou 8430, n.d.a.</v>
      </c>
      <c r="C513">
        <v>3588039</v>
      </c>
      <c r="D513">
        <v>945</v>
      </c>
    </row>
    <row r="514" spans="1:4" x14ac:dyDescent="0.25">
      <c r="A514" t="str">
        <f>T("   847431")</f>
        <v xml:space="preserve">   847431</v>
      </c>
      <c r="B514"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514">
        <v>152550438</v>
      </c>
      <c r="D514">
        <v>21031</v>
      </c>
    </row>
    <row r="515" spans="1:4" x14ac:dyDescent="0.25">
      <c r="A515" t="str">
        <f>T("   847910")</f>
        <v xml:space="preserve">   847910</v>
      </c>
      <c r="B515" t="str">
        <f>T("   Machines et appareils pour les travaux publics, le bâtiment ou les travaux analogues, n.d.a.")</f>
        <v xml:space="preserve">   Machines et appareils pour les travaux publics, le bâtiment ou les travaux analogues, n.d.a.</v>
      </c>
      <c r="C515">
        <v>38606000</v>
      </c>
      <c r="D515">
        <v>44500</v>
      </c>
    </row>
    <row r="516" spans="1:4" x14ac:dyDescent="0.25">
      <c r="A516" t="str">
        <f>T("   847989")</f>
        <v xml:space="preserve">   847989</v>
      </c>
      <c r="B516" t="str">
        <f>T("   Machines et appareils, y.c. les appareils mécaniques, n.d.a.")</f>
        <v xml:space="preserve">   Machines et appareils, y.c. les appareils mécaniques, n.d.a.</v>
      </c>
      <c r="C516">
        <v>31563631</v>
      </c>
      <c r="D516">
        <v>5986</v>
      </c>
    </row>
    <row r="517" spans="1:4" x14ac:dyDescent="0.25">
      <c r="A517" t="str">
        <f>T("   847990")</f>
        <v xml:space="preserve">   847990</v>
      </c>
      <c r="B517" t="str">
        <f>T("   Parties de machines et appareils, y.c. les appareils mécaniques, n.d.a.")</f>
        <v xml:space="preserve">   Parties de machines et appareils, y.c. les appareils mécaniques, n.d.a.</v>
      </c>
      <c r="C517">
        <v>76852437</v>
      </c>
      <c r="D517">
        <v>14275</v>
      </c>
    </row>
    <row r="518" spans="1:4" x14ac:dyDescent="0.25">
      <c r="A518" t="str">
        <f>T("   850690")</f>
        <v xml:space="preserve">   850690</v>
      </c>
      <c r="B518" t="str">
        <f>T("   Parties de piles et batteries de piles électriques n.d.a.")</f>
        <v xml:space="preserve">   Parties de piles et batteries de piles électriques n.d.a.</v>
      </c>
      <c r="C518">
        <v>1000000</v>
      </c>
      <c r="D518">
        <v>50000</v>
      </c>
    </row>
    <row r="519" spans="1:4" x14ac:dyDescent="0.25">
      <c r="A519" t="str">
        <f>T("   850780")</f>
        <v xml:space="preserve">   850780</v>
      </c>
      <c r="B519" t="str">
        <f>T("   Accumulateurs électriques (sauf hors d'usage et autres qu'au plomb, au nickel-cadmium ou au nickel-fer)")</f>
        <v xml:space="preserve">   Accumulateurs électriques (sauf hors d'usage et autres qu'au plomb, au nickel-cadmium ou au nickel-fer)</v>
      </c>
      <c r="C519">
        <v>7250000</v>
      </c>
      <c r="D519">
        <v>431460</v>
      </c>
    </row>
    <row r="520" spans="1:4" x14ac:dyDescent="0.25">
      <c r="A520" t="str">
        <f>T("   860900")</f>
        <v xml:space="preserve">   860900</v>
      </c>
      <c r="B520"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520">
        <v>6394272</v>
      </c>
      <c r="D520">
        <v>7839</v>
      </c>
    </row>
    <row r="521" spans="1:4" x14ac:dyDescent="0.25">
      <c r="A521" t="str">
        <f>T("   870323")</f>
        <v xml:space="preserve">   870323</v>
      </c>
      <c r="B521" t="s">
        <v>88</v>
      </c>
      <c r="C521">
        <v>11025000</v>
      </c>
      <c r="D521">
        <v>2500</v>
      </c>
    </row>
    <row r="522" spans="1:4" x14ac:dyDescent="0.25">
      <c r="A522" t="str">
        <f>T("   871680")</f>
        <v xml:space="preserve">   871680</v>
      </c>
      <c r="B522" t="str">
        <f>T("   Véhicules dirigés à la main et autres véhicules non automobiles, autres que remorques et semi-remorques")</f>
        <v xml:space="preserve">   Véhicules dirigés à la main et autres véhicules non automobiles, autres que remorques et semi-remorques</v>
      </c>
      <c r="C522">
        <v>960000</v>
      </c>
      <c r="D522">
        <v>1280</v>
      </c>
    </row>
    <row r="523" spans="1:4" x14ac:dyDescent="0.25">
      <c r="A523" t="str">
        <f>T("   940360")</f>
        <v xml:space="preserve">   940360</v>
      </c>
      <c r="B523" t="str">
        <f>T("   Meubles en bois (autres que pour bureaux, cuisines ou chambres à coucher et autres que sièges)")</f>
        <v xml:space="preserve">   Meubles en bois (autres que pour bureaux, cuisines ou chambres à coucher et autres que sièges)</v>
      </c>
      <c r="C523">
        <v>2050000</v>
      </c>
      <c r="D523">
        <v>4050</v>
      </c>
    </row>
    <row r="524" spans="1:4" x14ac:dyDescent="0.25">
      <c r="A524" t="str">
        <f>T("   940390")</f>
        <v xml:space="preserve">   940390</v>
      </c>
      <c r="B524"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524">
        <v>1500000</v>
      </c>
      <c r="D524">
        <v>2000</v>
      </c>
    </row>
    <row r="525" spans="1:4" x14ac:dyDescent="0.25">
      <c r="A525" t="str">
        <f>T("GM")</f>
        <v>GM</v>
      </c>
      <c r="B525" t="str">
        <f>T("Gambie")</f>
        <v>Gambie</v>
      </c>
    </row>
    <row r="526" spans="1:4" x14ac:dyDescent="0.25">
      <c r="A526" t="str">
        <f>T("   ZZ_Total_Produit_SH6")</f>
        <v xml:space="preserve">   ZZ_Total_Produit_SH6</v>
      </c>
      <c r="B526" t="str">
        <f>T("   ZZ_Total_Produit_SH6")</f>
        <v xml:space="preserve">   ZZ_Total_Produit_SH6</v>
      </c>
      <c r="C526">
        <v>8000000</v>
      </c>
      <c r="D526">
        <v>21000</v>
      </c>
    </row>
    <row r="527" spans="1:4" x14ac:dyDescent="0.25">
      <c r="A527" t="str">
        <f>T("   551449")</f>
        <v xml:space="preserve">   551449</v>
      </c>
      <c r="B527" t="str">
        <f>T("   Tissus, imprimés, de fibres synthétiques discontinues, contenant en prédominance, mais &lt; 85% en poids de ces fibres, mélangés principalement ou uniquement avec du coton, d'un poids &gt; 170 g/m² (à l'excl. des tissus de fibres discontinues de polyester)")</f>
        <v xml:space="preserve">   Tissus, imprimés, de fibres synthétiques discontinues, contenant en prédominance, mais &lt; 85% en poids de ces fibres, mélangés principalement ou uniquement avec du coton, d'un poids &gt; 170 g/m² (à l'excl. des tissus de fibres discontinues de polyester)</v>
      </c>
      <c r="C527">
        <v>8000000</v>
      </c>
      <c r="D527">
        <v>21000</v>
      </c>
    </row>
    <row r="528" spans="1:4" x14ac:dyDescent="0.25">
      <c r="A528" t="str">
        <f>T("GN")</f>
        <v>GN</v>
      </c>
      <c r="B528" t="str">
        <f>T("Guinée")</f>
        <v>Guinée</v>
      </c>
    </row>
    <row r="529" spans="1:4" x14ac:dyDescent="0.25">
      <c r="A529" t="str">
        <f>T("   ZZ_Total_Produit_SH6")</f>
        <v xml:space="preserve">   ZZ_Total_Produit_SH6</v>
      </c>
      <c r="B529" t="str">
        <f>T("   ZZ_Total_Produit_SH6")</f>
        <v xml:space="preserve">   ZZ_Total_Produit_SH6</v>
      </c>
      <c r="C529">
        <v>60038980</v>
      </c>
      <c r="D529">
        <v>102268</v>
      </c>
    </row>
    <row r="530" spans="1:4" x14ac:dyDescent="0.25">
      <c r="A530" t="str">
        <f>T("   391590")</f>
        <v xml:space="preserve">   391590</v>
      </c>
      <c r="B530" t="str">
        <f>T("   Déchets, rognures et débris de matières plastiques (à l'excl. des déchets, rognures et débris de polymères de l'éthylène, du styrène ou du chlorure de vinyle)")</f>
        <v xml:space="preserve">   Déchets, rognures et débris de matières plastiques (à l'excl. des déchets, rognures et débris de polymères de l'éthylène, du styrène ou du chlorure de vinyle)</v>
      </c>
      <c r="C530">
        <v>172480</v>
      </c>
      <c r="D530">
        <v>800</v>
      </c>
    </row>
    <row r="531" spans="1:4" x14ac:dyDescent="0.25">
      <c r="A531" t="str">
        <f>T("   401212")</f>
        <v xml:space="preserve">   401212</v>
      </c>
      <c r="B531" t="str">
        <f>T("   Pneumatiques rechapés, en caoutchouc, des types utilisés pour les autobus ou camions")</f>
        <v xml:space="preserve">   Pneumatiques rechapés, en caoutchouc, des types utilisés pour les autobus ou camions</v>
      </c>
      <c r="C531">
        <v>1121500</v>
      </c>
      <c r="D531">
        <v>1000</v>
      </c>
    </row>
    <row r="532" spans="1:4" x14ac:dyDescent="0.25">
      <c r="A532" t="str">
        <f>T("   401220")</f>
        <v xml:space="preserve">   401220</v>
      </c>
      <c r="B532" t="str">
        <f>T("   Pneumatiques usagés, en caoutchouc")</f>
        <v xml:space="preserve">   Pneumatiques usagés, en caoutchouc</v>
      </c>
      <c r="C532">
        <v>3000000</v>
      </c>
      <c r="D532">
        <v>11000</v>
      </c>
    </row>
    <row r="533" spans="1:4" x14ac:dyDescent="0.25">
      <c r="A533" t="str">
        <f>T("   630900")</f>
        <v xml:space="preserve">   630900</v>
      </c>
      <c r="B533" t="s">
        <v>56</v>
      </c>
      <c r="C533">
        <v>30000000</v>
      </c>
      <c r="D533">
        <v>54000</v>
      </c>
    </row>
    <row r="534" spans="1:4" x14ac:dyDescent="0.25">
      <c r="A534" t="str">
        <f>T("   640590")</f>
        <v xml:space="preserve">   640590</v>
      </c>
      <c r="B534" t="s">
        <v>59</v>
      </c>
      <c r="C534">
        <v>1200000</v>
      </c>
      <c r="D534">
        <v>1000</v>
      </c>
    </row>
    <row r="535" spans="1:4" x14ac:dyDescent="0.25">
      <c r="A535" t="str">
        <f>T("   690890")</f>
        <v xml:space="preserve">   690890</v>
      </c>
      <c r="B535" t="s">
        <v>60</v>
      </c>
      <c r="C535">
        <v>4000000</v>
      </c>
      <c r="D535">
        <v>10000</v>
      </c>
    </row>
    <row r="536" spans="1:4" x14ac:dyDescent="0.25">
      <c r="A536" t="str">
        <f>T("   732399")</f>
        <v xml:space="preserve">   732399</v>
      </c>
      <c r="B536" t="s">
        <v>68</v>
      </c>
      <c r="C536">
        <v>2850000</v>
      </c>
      <c r="D536">
        <v>3000</v>
      </c>
    </row>
    <row r="537" spans="1:4" x14ac:dyDescent="0.25">
      <c r="A537" t="str">
        <f>T("   760110")</f>
        <v xml:space="preserve">   760110</v>
      </c>
      <c r="B537" t="str">
        <f>T("   Aluminium non allié, sous forme brute")</f>
        <v xml:space="preserve">   Aluminium non allié, sous forme brute</v>
      </c>
      <c r="C537">
        <v>780000</v>
      </c>
      <c r="D537">
        <v>1000</v>
      </c>
    </row>
    <row r="538" spans="1:4" x14ac:dyDescent="0.25">
      <c r="A538" t="str">
        <f>T("   840890")</f>
        <v xml:space="preserve">   840890</v>
      </c>
      <c r="B538" t="s">
        <v>74</v>
      </c>
      <c r="C538">
        <v>910000</v>
      </c>
      <c r="D538">
        <v>1400</v>
      </c>
    </row>
    <row r="539" spans="1:4" x14ac:dyDescent="0.25">
      <c r="A539" t="str">
        <f>T("   854420")</f>
        <v xml:space="preserve">   854420</v>
      </c>
      <c r="B539" t="str">
        <f>T("   Câbles coaxiaux et autres conducteurs électriques coaxiaux, isolés")</f>
        <v xml:space="preserve">   Câbles coaxiaux et autres conducteurs électriques coaxiaux, isolés</v>
      </c>
      <c r="C539">
        <v>600000</v>
      </c>
      <c r="D539">
        <v>200</v>
      </c>
    </row>
    <row r="540" spans="1:4" x14ac:dyDescent="0.25">
      <c r="A540" t="str">
        <f>T("   870290")</f>
        <v xml:space="preserve">   870290</v>
      </c>
      <c r="B540" t="s">
        <v>86</v>
      </c>
      <c r="C540">
        <v>3000000</v>
      </c>
      <c r="D540">
        <v>3095</v>
      </c>
    </row>
    <row r="541" spans="1:4" x14ac:dyDescent="0.25">
      <c r="A541" t="str">
        <f>T("   870322")</f>
        <v xml:space="preserve">   870322</v>
      </c>
      <c r="B541" t="s">
        <v>87</v>
      </c>
      <c r="C541">
        <v>5200000</v>
      </c>
      <c r="D541">
        <v>5723</v>
      </c>
    </row>
    <row r="542" spans="1:4" x14ac:dyDescent="0.25">
      <c r="A542" t="str">
        <f>T("   870323")</f>
        <v xml:space="preserve">   870323</v>
      </c>
      <c r="B542" t="s">
        <v>88</v>
      </c>
      <c r="C542">
        <v>1000000</v>
      </c>
      <c r="D542">
        <v>950</v>
      </c>
    </row>
    <row r="543" spans="1:4" x14ac:dyDescent="0.25">
      <c r="A543" t="str">
        <f>T("   871120")</f>
        <v xml:space="preserve">   871120</v>
      </c>
      <c r="B543" t="str">
        <f>T("   Motocycles à moteur à piston alternatif, cylindrée &gt; 50 cm³ mais &lt;= 250 cm³")</f>
        <v xml:space="preserve">   Motocycles à moteur à piston alternatif, cylindrée &gt; 50 cm³ mais &lt;= 250 cm³</v>
      </c>
      <c r="C543">
        <v>1130000</v>
      </c>
      <c r="D543">
        <v>1500</v>
      </c>
    </row>
    <row r="544" spans="1:4" x14ac:dyDescent="0.25">
      <c r="A544" t="str">
        <f>T("   903110")</f>
        <v xml:space="preserve">   903110</v>
      </c>
      <c r="B544" t="str">
        <f>T("   Machines à équilibrer les pièces mécaniques")</f>
        <v xml:space="preserve">   Machines à équilibrer les pièces mécaniques</v>
      </c>
      <c r="C544">
        <v>1725000</v>
      </c>
      <c r="D544">
        <v>2000</v>
      </c>
    </row>
    <row r="545" spans="1:4" x14ac:dyDescent="0.25">
      <c r="A545" t="str">
        <f>T("   940350")</f>
        <v xml:space="preserve">   940350</v>
      </c>
      <c r="B545" t="str">
        <f>T("   Meubles pour chambres à coucher, en bois (sauf sièges)")</f>
        <v xml:space="preserve">   Meubles pour chambres à coucher, en bois (sauf sièges)</v>
      </c>
      <c r="C545">
        <v>3200000</v>
      </c>
      <c r="D545">
        <v>5500</v>
      </c>
    </row>
    <row r="546" spans="1:4" x14ac:dyDescent="0.25">
      <c r="A546" t="str">
        <f>T("   940429")</f>
        <v xml:space="preserve">   940429</v>
      </c>
      <c r="B546"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546">
        <v>150000</v>
      </c>
      <c r="D546">
        <v>100</v>
      </c>
    </row>
    <row r="547" spans="1:4" x14ac:dyDescent="0.25">
      <c r="A547" t="str">
        <f>T("GP")</f>
        <v>GP</v>
      </c>
      <c r="B547" t="str">
        <f>T("Guadeloupe")</f>
        <v>Guadeloupe</v>
      </c>
    </row>
    <row r="548" spans="1:4" x14ac:dyDescent="0.25">
      <c r="A548" t="str">
        <f>T("   ZZ_Total_Produit_SH6")</f>
        <v xml:space="preserve">   ZZ_Total_Produit_SH6</v>
      </c>
      <c r="B548" t="str">
        <f>T("   ZZ_Total_Produit_SH6")</f>
        <v xml:space="preserve">   ZZ_Total_Produit_SH6</v>
      </c>
      <c r="C548">
        <v>1000000</v>
      </c>
      <c r="D548">
        <v>10000</v>
      </c>
    </row>
    <row r="549" spans="1:4" x14ac:dyDescent="0.25">
      <c r="A549" t="str">
        <f>T("   120799")</f>
        <v xml:space="preserve">   120799</v>
      </c>
      <c r="B549" t="s">
        <v>16</v>
      </c>
      <c r="C549">
        <v>1000000</v>
      </c>
      <c r="D549">
        <v>10000</v>
      </c>
    </row>
    <row r="550" spans="1:4" x14ac:dyDescent="0.25">
      <c r="A550" t="str">
        <f>T("GQ")</f>
        <v>GQ</v>
      </c>
      <c r="B550" t="str">
        <f>T("Guinée Equatoriale")</f>
        <v>Guinée Equatoriale</v>
      </c>
    </row>
    <row r="551" spans="1:4" x14ac:dyDescent="0.25">
      <c r="A551" t="str">
        <f>T("   ZZ_Total_Produit_SH6")</f>
        <v xml:space="preserve">   ZZ_Total_Produit_SH6</v>
      </c>
      <c r="B551" t="str">
        <f>T("   ZZ_Total_Produit_SH6")</f>
        <v xml:space="preserve">   ZZ_Total_Produit_SH6</v>
      </c>
      <c r="C551">
        <v>164244471</v>
      </c>
      <c r="D551">
        <v>2171380</v>
      </c>
    </row>
    <row r="552" spans="1:4" x14ac:dyDescent="0.25">
      <c r="A552" t="str">
        <f>T("   110620")</f>
        <v xml:space="preserve">   110620</v>
      </c>
      <c r="B552" t="str">
        <f>T("   Farines, semoules et poudres de sagou ou des racines ou tubercules du n° 0714")</f>
        <v xml:space="preserve">   Farines, semoules et poudres de sagou ou des racines ou tubercules du n° 0714</v>
      </c>
      <c r="C552">
        <v>1518176</v>
      </c>
      <c r="D552">
        <v>3080</v>
      </c>
    </row>
    <row r="553" spans="1:4" x14ac:dyDescent="0.25">
      <c r="A553" t="str">
        <f>T("   252329")</f>
        <v xml:space="preserve">   252329</v>
      </c>
      <c r="B553" t="str">
        <f>T("   Ciment Portland normal ou modéré (à l'excl. des ciments Portland blancs, même colorés artificiellement)")</f>
        <v xml:space="preserve">   Ciment Portland normal ou modéré (à l'excl. des ciments Portland blancs, même colorés artificiellement)</v>
      </c>
      <c r="C553">
        <v>70000000</v>
      </c>
      <c r="D553">
        <v>2000000</v>
      </c>
    </row>
    <row r="554" spans="1:4" x14ac:dyDescent="0.25">
      <c r="A554" t="str">
        <f>T("   330499")</f>
        <v xml:space="preserve">   330499</v>
      </c>
      <c r="B554" t="s">
        <v>33</v>
      </c>
      <c r="C554">
        <v>140000</v>
      </c>
      <c r="D554">
        <v>100</v>
      </c>
    </row>
    <row r="555" spans="1:4" x14ac:dyDescent="0.25">
      <c r="A555" t="str">
        <f>T("   391590")</f>
        <v xml:space="preserve">   391590</v>
      </c>
      <c r="B555" t="str">
        <f>T("   Déchets, rognures et débris de matières plastiques (à l'excl. des déchets, rognures et débris de polymères de l'éthylène, du styrène ou du chlorure de vinyle)")</f>
        <v xml:space="preserve">   Déchets, rognures et débris de matières plastiques (à l'excl. des déchets, rognures et débris de polymères de l'éthylène, du styrène ou du chlorure de vinyle)</v>
      </c>
      <c r="C555">
        <v>90000</v>
      </c>
      <c r="D555">
        <v>500</v>
      </c>
    </row>
    <row r="556" spans="1:4" x14ac:dyDescent="0.25">
      <c r="A556" t="str">
        <f>T("   401390")</f>
        <v xml:space="preserve">   401390</v>
      </c>
      <c r="B556"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556">
        <v>2625000</v>
      </c>
      <c r="D556">
        <v>2000</v>
      </c>
    </row>
    <row r="557" spans="1:4" x14ac:dyDescent="0.25">
      <c r="A557" t="str">
        <f>T("   721391")</f>
        <v xml:space="preserve">   721391</v>
      </c>
      <c r="B557"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557">
        <v>16004134</v>
      </c>
      <c r="D557">
        <v>55000</v>
      </c>
    </row>
    <row r="558" spans="1:4" x14ac:dyDescent="0.25">
      <c r="A558" t="str">
        <f>T("   721420")</f>
        <v xml:space="preserve">   721420</v>
      </c>
      <c r="B558"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558">
        <v>29202349</v>
      </c>
      <c r="D558">
        <v>53000</v>
      </c>
    </row>
    <row r="559" spans="1:4" x14ac:dyDescent="0.25">
      <c r="A559" t="str">
        <f>T("   731700")</f>
        <v xml:space="preserve">   731700</v>
      </c>
      <c r="B559"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559">
        <v>1147500</v>
      </c>
      <c r="D559">
        <v>2000</v>
      </c>
    </row>
    <row r="560" spans="1:4" x14ac:dyDescent="0.25">
      <c r="A560" t="str">
        <f>T("   732399")</f>
        <v xml:space="preserve">   732399</v>
      </c>
      <c r="B560" t="s">
        <v>68</v>
      </c>
      <c r="C560">
        <v>2500000</v>
      </c>
      <c r="D560">
        <v>10000</v>
      </c>
    </row>
    <row r="561" spans="1:4" x14ac:dyDescent="0.25">
      <c r="A561" t="str">
        <f>T("   761090")</f>
        <v xml:space="preserve">   761090</v>
      </c>
      <c r="B561"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561">
        <v>470000</v>
      </c>
      <c r="D561">
        <v>100</v>
      </c>
    </row>
    <row r="562" spans="1:4" x14ac:dyDescent="0.25">
      <c r="A562" t="str">
        <f>T("   840820")</f>
        <v xml:space="preserve">   840820</v>
      </c>
      <c r="B562" t="s">
        <v>73</v>
      </c>
      <c r="C562">
        <v>960000</v>
      </c>
      <c r="D562">
        <v>1000</v>
      </c>
    </row>
    <row r="563" spans="1:4" x14ac:dyDescent="0.25">
      <c r="A563" t="str">
        <f>T("   840890")</f>
        <v xml:space="preserve">   840890</v>
      </c>
      <c r="B563" t="s">
        <v>74</v>
      </c>
      <c r="C563">
        <v>850000</v>
      </c>
      <c r="D563">
        <v>975</v>
      </c>
    </row>
    <row r="564" spans="1:4" x14ac:dyDescent="0.25">
      <c r="A564" t="str">
        <f>T("   841459")</f>
        <v xml:space="preserve">   841459</v>
      </c>
      <c r="B564"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564">
        <v>900000</v>
      </c>
      <c r="D564">
        <v>107</v>
      </c>
    </row>
    <row r="565" spans="1:4" x14ac:dyDescent="0.25">
      <c r="A565" t="str">
        <f>T("   841981")</f>
        <v xml:space="preserve">   841981</v>
      </c>
      <c r="B565" t="str">
        <f>T("   Appareils et dispositifs pour la préparation de boissons chaudes ou la cuisson ou le chauffage des aliments (sauf appareils domestiques)")</f>
        <v xml:space="preserve">   Appareils et dispositifs pour la préparation de boissons chaudes ou la cuisson ou le chauffage des aliments (sauf appareils domestiques)</v>
      </c>
      <c r="C565">
        <v>50000</v>
      </c>
      <c r="D565">
        <v>8</v>
      </c>
    </row>
    <row r="566" spans="1:4" x14ac:dyDescent="0.25">
      <c r="A566" t="str">
        <f>T("   843143")</f>
        <v xml:space="preserve">   843143</v>
      </c>
      <c r="B566" t="str">
        <f>T("   Parties de machines de sondage ou de forage du n° 8430.41 ou 8430.49, n.d.a.")</f>
        <v xml:space="preserve">   Parties de machines de sondage ou de forage du n° 8430.41 ou 8430.49, n.d.a.</v>
      </c>
      <c r="C566">
        <v>1461325</v>
      </c>
      <c r="D566">
        <v>560</v>
      </c>
    </row>
    <row r="567" spans="1:4" x14ac:dyDescent="0.25">
      <c r="A567" t="str">
        <f>T("   844339")</f>
        <v xml:space="preserve">   844339</v>
      </c>
      <c r="B567" t="s">
        <v>78</v>
      </c>
      <c r="C567">
        <v>100000</v>
      </c>
      <c r="D567">
        <v>80</v>
      </c>
    </row>
    <row r="568" spans="1:4" x14ac:dyDescent="0.25">
      <c r="A568" t="str">
        <f>T("   850239")</f>
        <v xml:space="preserve">   850239</v>
      </c>
      <c r="B568" t="str">
        <f>T("   Groupes électrogènes (autres qu'à énergie éolienne et à moteurs à piston)")</f>
        <v xml:space="preserve">   Groupes électrogènes (autres qu'à énergie éolienne et à moteurs à piston)</v>
      </c>
      <c r="C568">
        <v>800000</v>
      </c>
      <c r="D568">
        <v>1000</v>
      </c>
    </row>
    <row r="569" spans="1:4" x14ac:dyDescent="0.25">
      <c r="A569" t="str">
        <f>T("   870120")</f>
        <v xml:space="preserve">   870120</v>
      </c>
      <c r="B569" t="str">
        <f>T("   Tracteurs routiers pour semi-remorques")</f>
        <v xml:space="preserve">   Tracteurs routiers pour semi-remorques</v>
      </c>
      <c r="C569">
        <v>2000000</v>
      </c>
      <c r="D569">
        <v>7495</v>
      </c>
    </row>
    <row r="570" spans="1:4" x14ac:dyDescent="0.25">
      <c r="A570" t="str">
        <f>T("   870290")</f>
        <v xml:space="preserve">   870290</v>
      </c>
      <c r="B570" t="s">
        <v>86</v>
      </c>
      <c r="C570">
        <v>3400000</v>
      </c>
      <c r="D570">
        <v>3900</v>
      </c>
    </row>
    <row r="571" spans="1:4" x14ac:dyDescent="0.25">
      <c r="A571" t="str">
        <f>T("   870322")</f>
        <v xml:space="preserve">   870322</v>
      </c>
      <c r="B571" t="s">
        <v>87</v>
      </c>
      <c r="C571">
        <v>1200000</v>
      </c>
      <c r="D571">
        <v>950</v>
      </c>
    </row>
    <row r="572" spans="1:4" x14ac:dyDescent="0.25">
      <c r="A572" t="str">
        <f>T("   870323")</f>
        <v xml:space="preserve">   870323</v>
      </c>
      <c r="B572" t="s">
        <v>88</v>
      </c>
      <c r="C572">
        <v>17496987</v>
      </c>
      <c r="D572">
        <v>5225</v>
      </c>
    </row>
    <row r="573" spans="1:4" x14ac:dyDescent="0.25">
      <c r="A573" t="str">
        <f>T("   870421")</f>
        <v xml:space="preserve">   870421</v>
      </c>
      <c r="B573" t="s">
        <v>93</v>
      </c>
      <c r="C573">
        <v>4600000</v>
      </c>
      <c r="D573">
        <v>10000</v>
      </c>
    </row>
    <row r="574" spans="1:4" x14ac:dyDescent="0.25">
      <c r="A574" t="str">
        <f>T("   870829")</f>
        <v xml:space="preserve">   870829</v>
      </c>
      <c r="B574" t="s">
        <v>98</v>
      </c>
      <c r="C574">
        <v>170000</v>
      </c>
      <c r="D574">
        <v>500</v>
      </c>
    </row>
    <row r="575" spans="1:4" x14ac:dyDescent="0.25">
      <c r="A575" t="str">
        <f>T("   870870")</f>
        <v xml:space="preserve">   870870</v>
      </c>
      <c r="B575"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575">
        <v>220000</v>
      </c>
      <c r="D575">
        <v>100</v>
      </c>
    </row>
    <row r="576" spans="1:4" x14ac:dyDescent="0.25">
      <c r="A576" t="str">
        <f>T("   870899")</f>
        <v xml:space="preserve">   870899</v>
      </c>
      <c r="B576"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576">
        <v>800000</v>
      </c>
      <c r="D576">
        <v>200</v>
      </c>
    </row>
    <row r="577" spans="1:4" x14ac:dyDescent="0.25">
      <c r="A577" t="str">
        <f>T("   870919")</f>
        <v xml:space="preserve">   870919</v>
      </c>
      <c r="B577"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577">
        <v>1200000</v>
      </c>
      <c r="D577">
        <v>500</v>
      </c>
    </row>
    <row r="578" spans="1:4" x14ac:dyDescent="0.25">
      <c r="A578" t="str">
        <f>T("   871120")</f>
        <v xml:space="preserve">   871120</v>
      </c>
      <c r="B578" t="str">
        <f>T("   Motocycles à moteur à piston alternatif, cylindrée &gt; 50 cm³ mais &lt;= 250 cm³")</f>
        <v xml:space="preserve">   Motocycles à moteur à piston alternatif, cylindrée &gt; 50 cm³ mais &lt;= 250 cm³</v>
      </c>
      <c r="C578">
        <v>2339000</v>
      </c>
      <c r="D578">
        <v>5000</v>
      </c>
    </row>
    <row r="579" spans="1:4" x14ac:dyDescent="0.25">
      <c r="A579" t="str">
        <f>T("   871640")</f>
        <v xml:space="preserve">   871640</v>
      </c>
      <c r="B579"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579">
        <v>2000000</v>
      </c>
      <c r="D579">
        <v>8000</v>
      </c>
    </row>
    <row r="580" spans="1:4" x14ac:dyDescent="0.25">
      <c r="A580" t="str">
        <f>T("GU")</f>
        <v>GU</v>
      </c>
      <c r="B580" t="str">
        <f>T("Guam")</f>
        <v>Guam</v>
      </c>
    </row>
    <row r="581" spans="1:4" x14ac:dyDescent="0.25">
      <c r="A581" t="str">
        <f>T("   ZZ_Total_Produit_SH6")</f>
        <v xml:space="preserve">   ZZ_Total_Produit_SH6</v>
      </c>
      <c r="B581" t="str">
        <f>T("   ZZ_Total_Produit_SH6")</f>
        <v xml:space="preserve">   ZZ_Total_Produit_SH6</v>
      </c>
      <c r="C581">
        <v>1308000</v>
      </c>
      <c r="D581">
        <v>190</v>
      </c>
    </row>
    <row r="582" spans="1:4" x14ac:dyDescent="0.25">
      <c r="A582" t="str">
        <f>T("   850450")</f>
        <v xml:space="preserve">   850450</v>
      </c>
      <c r="B582" t="str">
        <f>T("   Bobines de réactance et autres selfs (autres que pour lampes ou tubes à décharge)")</f>
        <v xml:space="preserve">   Bobines de réactance et autres selfs (autres que pour lampes ou tubes à décharge)</v>
      </c>
      <c r="C582">
        <v>1308000</v>
      </c>
      <c r="D582">
        <v>190</v>
      </c>
    </row>
    <row r="583" spans="1:4" x14ac:dyDescent="0.25">
      <c r="A583" t="str">
        <f>T("HK")</f>
        <v>HK</v>
      </c>
      <c r="B583" t="str">
        <f>T("Hong-Kong")</f>
        <v>Hong-Kong</v>
      </c>
    </row>
    <row r="584" spans="1:4" x14ac:dyDescent="0.25">
      <c r="A584" t="str">
        <f>T("   ZZ_Total_Produit_SH6")</f>
        <v xml:space="preserve">   ZZ_Total_Produit_SH6</v>
      </c>
      <c r="B584" t="str">
        <f>T("   ZZ_Total_Produit_SH6")</f>
        <v xml:space="preserve">   ZZ_Total_Produit_SH6</v>
      </c>
      <c r="C584">
        <v>4200000</v>
      </c>
      <c r="D584">
        <v>72000</v>
      </c>
    </row>
    <row r="585" spans="1:4" x14ac:dyDescent="0.25">
      <c r="A585" t="str">
        <f>T("   440399")</f>
        <v xml:space="preserve">   440399</v>
      </c>
      <c r="B585" t="s">
        <v>46</v>
      </c>
      <c r="C585">
        <v>500000</v>
      </c>
      <c r="D585">
        <v>10000</v>
      </c>
    </row>
    <row r="586" spans="1:4" x14ac:dyDescent="0.25">
      <c r="A586" t="str">
        <f>T("   440799")</f>
        <v xml:space="preserve">   440799</v>
      </c>
      <c r="B586" t="s">
        <v>48</v>
      </c>
      <c r="C586">
        <v>1200000</v>
      </c>
      <c r="D586">
        <v>12000</v>
      </c>
    </row>
    <row r="587" spans="1:4" x14ac:dyDescent="0.25">
      <c r="A587" t="str">
        <f>T("   720429")</f>
        <v xml:space="preserve">   720429</v>
      </c>
      <c r="B587"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587">
        <v>2500000</v>
      </c>
      <c r="D587">
        <v>50000</v>
      </c>
    </row>
    <row r="588" spans="1:4" x14ac:dyDescent="0.25">
      <c r="A588" t="str">
        <f>T("HR")</f>
        <v>HR</v>
      </c>
      <c r="B588" t="str">
        <f>T("Croatie")</f>
        <v>Croatie</v>
      </c>
    </row>
    <row r="589" spans="1:4" x14ac:dyDescent="0.25">
      <c r="A589" t="str">
        <f>T("   ZZ_Total_Produit_SH6")</f>
        <v xml:space="preserve">   ZZ_Total_Produit_SH6</v>
      </c>
      <c r="B589" t="str">
        <f>T("   ZZ_Total_Produit_SH6")</f>
        <v xml:space="preserve">   ZZ_Total_Produit_SH6</v>
      </c>
      <c r="C589">
        <v>1584304</v>
      </c>
      <c r="D589">
        <v>4590</v>
      </c>
    </row>
    <row r="590" spans="1:4" x14ac:dyDescent="0.25">
      <c r="A590" t="str">
        <f>T("   151590")</f>
        <v xml:space="preserve">   151590</v>
      </c>
      <c r="B590" t="s">
        <v>18</v>
      </c>
      <c r="C590">
        <v>1574304</v>
      </c>
      <c r="D590">
        <v>2000</v>
      </c>
    </row>
    <row r="591" spans="1:4" x14ac:dyDescent="0.25">
      <c r="A591" t="str">
        <f>T("   950590")</f>
        <v xml:space="preserve">   950590</v>
      </c>
      <c r="B591" t="str">
        <f>T("   Articles pour fêtes, carnaval ou autres divertissements, y.c. les articles de magie et articles-surprises, n.d.a.")</f>
        <v xml:space="preserve">   Articles pour fêtes, carnaval ou autres divertissements, y.c. les articles de magie et articles-surprises, n.d.a.</v>
      </c>
      <c r="C591">
        <v>10000</v>
      </c>
      <c r="D591">
        <v>2590</v>
      </c>
    </row>
    <row r="592" spans="1:4" x14ac:dyDescent="0.25">
      <c r="A592" t="str">
        <f>T("HT")</f>
        <v>HT</v>
      </c>
      <c r="B592" t="str">
        <f>T("Haïti")</f>
        <v>Haïti</v>
      </c>
    </row>
    <row r="593" spans="1:4" x14ac:dyDescent="0.25">
      <c r="A593" t="str">
        <f>T("   ZZ_Total_Produit_SH6")</f>
        <v xml:space="preserve">   ZZ_Total_Produit_SH6</v>
      </c>
      <c r="B593" t="str">
        <f>T("   ZZ_Total_Produit_SH6")</f>
        <v xml:space="preserve">   ZZ_Total_Produit_SH6</v>
      </c>
      <c r="C593">
        <v>4289106</v>
      </c>
      <c r="D593">
        <v>7200</v>
      </c>
    </row>
    <row r="594" spans="1:4" x14ac:dyDescent="0.25">
      <c r="A594" t="str">
        <f>T("   620590")</f>
        <v xml:space="preserve">   620590</v>
      </c>
      <c r="B59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594">
        <v>500000</v>
      </c>
      <c r="D594">
        <v>300</v>
      </c>
    </row>
    <row r="595" spans="1:4" x14ac:dyDescent="0.25">
      <c r="A595" t="str">
        <f>T("   732394")</f>
        <v xml:space="preserve">   732394</v>
      </c>
      <c r="B595" t="s">
        <v>67</v>
      </c>
      <c r="C595">
        <v>300000</v>
      </c>
      <c r="D595">
        <v>200</v>
      </c>
    </row>
    <row r="596" spans="1:4" x14ac:dyDescent="0.25">
      <c r="A596" t="str">
        <f>T("   940350")</f>
        <v xml:space="preserve">   940350</v>
      </c>
      <c r="B596" t="str">
        <f>T("   Meubles pour chambres à coucher, en bois (sauf sièges)")</f>
        <v xml:space="preserve">   Meubles pour chambres à coucher, en bois (sauf sièges)</v>
      </c>
      <c r="C596">
        <v>3489106</v>
      </c>
      <c r="D596">
        <v>6700</v>
      </c>
    </row>
    <row r="597" spans="1:4" x14ac:dyDescent="0.25">
      <c r="A597" t="str">
        <f>T("HU")</f>
        <v>HU</v>
      </c>
      <c r="B597" t="str">
        <f>T("Hongrie")</f>
        <v>Hongrie</v>
      </c>
    </row>
    <row r="598" spans="1:4" x14ac:dyDescent="0.25">
      <c r="A598" t="str">
        <f>T("   ZZ_Total_Produit_SH6")</f>
        <v xml:space="preserve">   ZZ_Total_Produit_SH6</v>
      </c>
      <c r="B598" t="str">
        <f>T("   ZZ_Total_Produit_SH6")</f>
        <v xml:space="preserve">   ZZ_Total_Produit_SH6</v>
      </c>
      <c r="C598">
        <v>22974619</v>
      </c>
      <c r="D598">
        <v>4000</v>
      </c>
    </row>
    <row r="599" spans="1:4" x14ac:dyDescent="0.25">
      <c r="A599" t="str">
        <f>T("   852190")</f>
        <v xml:space="preserve">   852190</v>
      </c>
      <c r="B599" t="s">
        <v>84</v>
      </c>
      <c r="C599">
        <v>22974619</v>
      </c>
      <c r="D599">
        <v>4000</v>
      </c>
    </row>
    <row r="600" spans="1:4" x14ac:dyDescent="0.25">
      <c r="A600" t="str">
        <f>T("ID")</f>
        <v>ID</v>
      </c>
      <c r="B600" t="str">
        <f>T("Indonésie")</f>
        <v>Indonésie</v>
      </c>
    </row>
    <row r="601" spans="1:4" x14ac:dyDescent="0.25">
      <c r="A601" t="str">
        <f>T("   ZZ_Total_Produit_SH6")</f>
        <v xml:space="preserve">   ZZ_Total_Produit_SH6</v>
      </c>
      <c r="B601" t="str">
        <f>T("   ZZ_Total_Produit_SH6")</f>
        <v xml:space="preserve">   ZZ_Total_Produit_SH6</v>
      </c>
      <c r="C601">
        <v>10847324103</v>
      </c>
      <c r="D601">
        <v>12894814</v>
      </c>
    </row>
    <row r="602" spans="1:4" x14ac:dyDescent="0.25">
      <c r="A602" t="str">
        <f>T("   121230")</f>
        <v xml:space="preserve">   121230</v>
      </c>
      <c r="B602" t="str">
        <f>T("   Noyaux et amandes d'abricots, de pêches [y.c. des brugnons et nectarines] ou de prunes")</f>
        <v xml:space="preserve">   Noyaux et amandes d'abricots, de pêches [y.c. des brugnons et nectarines] ou de prunes</v>
      </c>
      <c r="C602">
        <v>80000</v>
      </c>
      <c r="D602">
        <v>19</v>
      </c>
    </row>
    <row r="603" spans="1:4" x14ac:dyDescent="0.25">
      <c r="A603" t="str">
        <f>T("   520100")</f>
        <v xml:space="preserve">   520100</v>
      </c>
      <c r="B603" t="str">
        <f>T("   COTON, NON-CARDÉ NI PEIGNÉ")</f>
        <v xml:space="preserve">   COTON, NON-CARDÉ NI PEIGNÉ</v>
      </c>
      <c r="C603">
        <v>10823344103</v>
      </c>
      <c r="D603">
        <v>12452795</v>
      </c>
    </row>
    <row r="604" spans="1:4" x14ac:dyDescent="0.25">
      <c r="A604" t="str">
        <f>T("   620590")</f>
        <v xml:space="preserve">   620590</v>
      </c>
      <c r="B60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04">
        <v>400000</v>
      </c>
      <c r="D604">
        <v>500</v>
      </c>
    </row>
    <row r="605" spans="1:4" x14ac:dyDescent="0.25">
      <c r="A605" t="str">
        <f>T("   720430")</f>
        <v xml:space="preserve">   720430</v>
      </c>
      <c r="B605"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605">
        <v>21200000</v>
      </c>
      <c r="D605">
        <v>420000</v>
      </c>
    </row>
    <row r="606" spans="1:4" x14ac:dyDescent="0.25">
      <c r="A606" t="str">
        <f>T("   732394")</f>
        <v xml:space="preserve">   732394</v>
      </c>
      <c r="B606" t="s">
        <v>67</v>
      </c>
      <c r="C606">
        <v>300000</v>
      </c>
      <c r="D606">
        <v>300</v>
      </c>
    </row>
    <row r="607" spans="1:4" x14ac:dyDescent="0.25">
      <c r="A607" t="str">
        <f>T("   760200")</f>
        <v xml:space="preserve">   760200</v>
      </c>
      <c r="B607" t="s">
        <v>70</v>
      </c>
      <c r="C607">
        <v>1200000</v>
      </c>
      <c r="D607">
        <v>20000</v>
      </c>
    </row>
    <row r="608" spans="1:4" x14ac:dyDescent="0.25">
      <c r="A608" t="str">
        <f>T("   940350")</f>
        <v xml:space="preserve">   940350</v>
      </c>
      <c r="B608" t="str">
        <f>T("   Meubles pour chambres à coucher, en bois (sauf sièges)")</f>
        <v xml:space="preserve">   Meubles pour chambres à coucher, en bois (sauf sièges)</v>
      </c>
      <c r="C608">
        <v>800000</v>
      </c>
      <c r="D608">
        <v>1200</v>
      </c>
    </row>
    <row r="609" spans="1:4" x14ac:dyDescent="0.25">
      <c r="A609" t="str">
        <f>T("IL")</f>
        <v>IL</v>
      </c>
      <c r="B609" t="str">
        <f>T("Israël")</f>
        <v>Israël</v>
      </c>
    </row>
    <row r="610" spans="1:4" x14ac:dyDescent="0.25">
      <c r="A610" t="str">
        <f>T("   ZZ_Total_Produit_SH6")</f>
        <v xml:space="preserve">   ZZ_Total_Produit_SH6</v>
      </c>
      <c r="B610" t="str">
        <f>T("   ZZ_Total_Produit_SH6")</f>
        <v xml:space="preserve">   ZZ_Total_Produit_SH6</v>
      </c>
      <c r="C610">
        <v>500000</v>
      </c>
      <c r="D610">
        <v>10000</v>
      </c>
    </row>
    <row r="611" spans="1:4" x14ac:dyDescent="0.25">
      <c r="A611" t="str">
        <f>T("   440399")</f>
        <v xml:space="preserve">   440399</v>
      </c>
      <c r="B611" t="s">
        <v>46</v>
      </c>
      <c r="C611">
        <v>500000</v>
      </c>
      <c r="D611">
        <v>10000</v>
      </c>
    </row>
    <row r="612" spans="1:4" x14ac:dyDescent="0.25">
      <c r="A612" t="str">
        <f>T("IN")</f>
        <v>IN</v>
      </c>
      <c r="B612" t="str">
        <f>T("Inde")</f>
        <v>Inde</v>
      </c>
    </row>
    <row r="613" spans="1:4" x14ac:dyDescent="0.25">
      <c r="A613" t="str">
        <f>T("   ZZ_Total_Produit_SH6")</f>
        <v xml:space="preserve">   ZZ_Total_Produit_SH6</v>
      </c>
      <c r="B613" t="str">
        <f>T("   ZZ_Total_Produit_SH6")</f>
        <v xml:space="preserve">   ZZ_Total_Produit_SH6</v>
      </c>
      <c r="C613">
        <v>35007295855</v>
      </c>
      <c r="D613">
        <v>152388914</v>
      </c>
    </row>
    <row r="614" spans="1:4" x14ac:dyDescent="0.25">
      <c r="A614" t="str">
        <f>T("   080131")</f>
        <v xml:space="preserve">   080131</v>
      </c>
      <c r="B614" t="str">
        <f>T("   Noix de cajou, fraîches ou sèches, en coques")</f>
        <v xml:space="preserve">   Noix de cajou, fraîches ou sèches, en coques</v>
      </c>
      <c r="C614">
        <v>23655932375</v>
      </c>
      <c r="D614">
        <v>89892937</v>
      </c>
    </row>
    <row r="615" spans="1:4" x14ac:dyDescent="0.25">
      <c r="A615" t="str">
        <f>T("   080212")</f>
        <v xml:space="preserve">   080212</v>
      </c>
      <c r="B615" t="str">
        <f>T("   Amandes, fraîches ou sèches, sans coques, même décortiquées")</f>
        <v xml:space="preserve">   Amandes, fraîches ou sèches, sans coques, même décortiquées</v>
      </c>
      <c r="C615">
        <v>114889920</v>
      </c>
      <c r="D615">
        <v>718062</v>
      </c>
    </row>
    <row r="616" spans="1:4" x14ac:dyDescent="0.25">
      <c r="A616" t="str">
        <f>T("   091010")</f>
        <v xml:space="preserve">   091010</v>
      </c>
      <c r="B616" t="str">
        <f>T("   Gingembre")</f>
        <v xml:space="preserve">   Gingembre</v>
      </c>
      <c r="C616">
        <v>15245400</v>
      </c>
      <c r="D616">
        <v>76227</v>
      </c>
    </row>
    <row r="617" spans="1:4" x14ac:dyDescent="0.25">
      <c r="A617" t="str">
        <f>T("   100110")</f>
        <v xml:space="preserve">   100110</v>
      </c>
      <c r="B617" t="str">
        <f>T("   Froment [blé] dur")</f>
        <v xml:space="preserve">   Froment [blé] dur</v>
      </c>
      <c r="C617">
        <v>62619909</v>
      </c>
      <c r="D617">
        <v>208890</v>
      </c>
    </row>
    <row r="618" spans="1:4" x14ac:dyDescent="0.25">
      <c r="A618" t="str">
        <f>T("   120100")</f>
        <v xml:space="preserve">   120100</v>
      </c>
      <c r="B618" t="str">
        <f>T("   Fèves de soja, même concassées")</f>
        <v xml:space="preserve">   Fèves de soja, même concassées</v>
      </c>
      <c r="C618">
        <v>98800000</v>
      </c>
      <c r="D618">
        <v>494000</v>
      </c>
    </row>
    <row r="619" spans="1:4" x14ac:dyDescent="0.25">
      <c r="A619" t="str">
        <f>T("   120710")</f>
        <v xml:space="preserve">   120710</v>
      </c>
      <c r="B619" t="str">
        <f>T("   NOIX ET AMANDES DE PALMISTES")</f>
        <v xml:space="preserve">   NOIX ET AMANDES DE PALMISTES</v>
      </c>
      <c r="C619">
        <v>29518065</v>
      </c>
      <c r="D619">
        <v>606</v>
      </c>
    </row>
    <row r="620" spans="1:4" x14ac:dyDescent="0.25">
      <c r="A620" t="str">
        <f>T("   120799")</f>
        <v xml:space="preserve">   120799</v>
      </c>
      <c r="B620" t="s">
        <v>16</v>
      </c>
      <c r="C620">
        <v>1149959695</v>
      </c>
      <c r="D620">
        <v>6847424</v>
      </c>
    </row>
    <row r="621" spans="1:4" x14ac:dyDescent="0.25">
      <c r="A621" t="str">
        <f>T("   120999")</f>
        <v xml:space="preserve">   120999</v>
      </c>
      <c r="B621" t="s">
        <v>17</v>
      </c>
      <c r="C621">
        <v>34400000</v>
      </c>
      <c r="D621">
        <v>344000</v>
      </c>
    </row>
    <row r="622" spans="1:4" x14ac:dyDescent="0.25">
      <c r="A622" t="str">
        <f>T("   230610")</f>
        <v xml:space="preserve">   230610</v>
      </c>
      <c r="B622"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622">
        <v>235820506</v>
      </c>
      <c r="D622">
        <v>2587602</v>
      </c>
    </row>
    <row r="623" spans="1:4" x14ac:dyDescent="0.25">
      <c r="A623" t="str">
        <f>T("   410150")</f>
        <v xml:space="preserve">   410150</v>
      </c>
      <c r="B623" t="s">
        <v>44</v>
      </c>
      <c r="C623">
        <v>11460000</v>
      </c>
      <c r="D623">
        <v>60000</v>
      </c>
    </row>
    <row r="624" spans="1:4" x14ac:dyDescent="0.25">
      <c r="A624" t="str">
        <f>T("   440399")</f>
        <v xml:space="preserve">   440399</v>
      </c>
      <c r="B624" t="s">
        <v>46</v>
      </c>
      <c r="C624">
        <v>994250000</v>
      </c>
      <c r="D624">
        <v>17229720</v>
      </c>
    </row>
    <row r="625" spans="1:4" x14ac:dyDescent="0.25">
      <c r="A625" t="str">
        <f>T("   440690")</f>
        <v xml:space="preserve">   440690</v>
      </c>
      <c r="B625" t="str">
        <f>T("   Traverses en bois, pour voies ferrées ou simil., imprégnées")</f>
        <v xml:space="preserve">   Traverses en bois, pour voies ferrées ou simil., imprégnées</v>
      </c>
      <c r="C625">
        <v>377954704</v>
      </c>
      <c r="D625">
        <v>4177000</v>
      </c>
    </row>
    <row r="626" spans="1:4" x14ac:dyDescent="0.25">
      <c r="A626" t="str">
        <f>T("   440729")</f>
        <v xml:space="preserve">   440729</v>
      </c>
      <c r="B626" t="s">
        <v>47</v>
      </c>
      <c r="C626">
        <v>2326562574</v>
      </c>
      <c r="D626">
        <v>2753000</v>
      </c>
    </row>
    <row r="627" spans="1:4" x14ac:dyDescent="0.25">
      <c r="A627" t="str">
        <f>T("   440799")</f>
        <v xml:space="preserve">   440799</v>
      </c>
      <c r="B627" t="s">
        <v>48</v>
      </c>
      <c r="C627">
        <v>9500000</v>
      </c>
      <c r="D627">
        <v>283000</v>
      </c>
    </row>
    <row r="628" spans="1:4" x14ac:dyDescent="0.25">
      <c r="A628" t="str">
        <f>T("   520100")</f>
        <v xml:space="preserve">   520100</v>
      </c>
      <c r="B628" t="str">
        <f>T("   COTON, NON-CARDÉ NI PEIGNÉ")</f>
        <v xml:space="preserve">   COTON, NON-CARDÉ NI PEIGNÉ</v>
      </c>
      <c r="C628">
        <v>4669121291</v>
      </c>
      <c r="D628">
        <v>5076969</v>
      </c>
    </row>
    <row r="629" spans="1:4" x14ac:dyDescent="0.25">
      <c r="A629" t="str">
        <f>T("   630510")</f>
        <v xml:space="preserve">   630510</v>
      </c>
      <c r="B629" t="str">
        <f>T("   Sacs et sachets d'emballage de jute ou d'autres fibres textiles libériennes du n° 5303")</f>
        <v xml:space="preserve">   Sacs et sachets d'emballage de jute ou d'autres fibres textiles libériennes du n° 5303</v>
      </c>
      <c r="C629">
        <v>24856786</v>
      </c>
      <c r="D629">
        <v>63538</v>
      </c>
    </row>
    <row r="630" spans="1:4" x14ac:dyDescent="0.25">
      <c r="A630" t="str">
        <f>T("   630533")</f>
        <v xml:space="preserve">   630533</v>
      </c>
      <c r="B630"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630">
        <v>7470000</v>
      </c>
      <c r="D630">
        <v>40959</v>
      </c>
    </row>
    <row r="631" spans="1:4" x14ac:dyDescent="0.25">
      <c r="A631" t="str">
        <f>T("   630900")</f>
        <v xml:space="preserve">   630900</v>
      </c>
      <c r="B631" t="s">
        <v>56</v>
      </c>
      <c r="C631">
        <v>1250000</v>
      </c>
      <c r="D631">
        <v>700</v>
      </c>
    </row>
    <row r="632" spans="1:4" x14ac:dyDescent="0.25">
      <c r="A632" t="str">
        <f>T("   720390")</f>
        <v xml:space="preserve">   720390</v>
      </c>
      <c r="B632" t="str">
        <f>T("   PRODUITS FERREUX SPONGIEUX OBTENUS PAR ATOMISATION DE PRODUITS FERREUX BRUTS FONDUS ET FER, D'UNE PURETÉ &gt;= 99,94%, EN MORCEAUX, BOULETTES OU FORMES SIMIL.")</f>
        <v xml:space="preserve">   PRODUITS FERREUX SPONGIEUX OBTENUS PAR ATOMISATION DE PRODUITS FERREUX BRUTS FONDUS ET FER, D'UNE PURETÉ &gt;= 99,94%, EN MORCEAUX, BOULETTES OU FORMES SIMIL.</v>
      </c>
      <c r="C632">
        <v>1500000</v>
      </c>
      <c r="D632">
        <v>30000</v>
      </c>
    </row>
    <row r="633" spans="1:4" x14ac:dyDescent="0.25">
      <c r="A633" t="str">
        <f>T("   720429")</f>
        <v xml:space="preserve">   720429</v>
      </c>
      <c r="B633"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633">
        <v>696119000</v>
      </c>
      <c r="D633">
        <v>13743380</v>
      </c>
    </row>
    <row r="634" spans="1:4" x14ac:dyDescent="0.25">
      <c r="A634" t="str">
        <f>T("   720430")</f>
        <v xml:space="preserve">   720430</v>
      </c>
      <c r="B634"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634">
        <v>382474955</v>
      </c>
      <c r="D634">
        <v>5663400</v>
      </c>
    </row>
    <row r="635" spans="1:4" x14ac:dyDescent="0.25">
      <c r="A635" t="str">
        <f>T("   720449")</f>
        <v xml:space="preserve">   720449</v>
      </c>
      <c r="B635" t="s">
        <v>64</v>
      </c>
      <c r="C635">
        <v>32500000</v>
      </c>
      <c r="D635">
        <v>650000</v>
      </c>
    </row>
    <row r="636" spans="1:4" x14ac:dyDescent="0.25">
      <c r="A636" t="str">
        <f>T("   720529")</f>
        <v xml:space="preserve">   720529</v>
      </c>
      <c r="B636" t="str">
        <f>T("   Poudres de fonte brute, de fonte spiegel, de fer ou d'aciers non alliés (autres que les poudres de ferro-alliages et les isotopes radioactifs de poudre de fer)")</f>
        <v xml:space="preserve">   Poudres de fonte brute, de fonte spiegel, de fer ou d'aciers non alliés (autres que les poudres de ferro-alliages et les isotopes radioactifs de poudre de fer)</v>
      </c>
      <c r="C636">
        <v>2000000</v>
      </c>
      <c r="D636">
        <v>40000</v>
      </c>
    </row>
    <row r="637" spans="1:4" x14ac:dyDescent="0.25">
      <c r="A637" t="str">
        <f>T("   760200")</f>
        <v xml:space="preserve">   760200</v>
      </c>
      <c r="B637" t="s">
        <v>70</v>
      </c>
      <c r="C637">
        <v>71100000</v>
      </c>
      <c r="D637">
        <v>1400000</v>
      </c>
    </row>
    <row r="638" spans="1:4" x14ac:dyDescent="0.25">
      <c r="A638" t="str">
        <f>T("   940350")</f>
        <v xml:space="preserve">   940350</v>
      </c>
      <c r="B638" t="str">
        <f>T("   Meubles pour chambres à coucher, en bois (sauf sièges)")</f>
        <v xml:space="preserve">   Meubles pour chambres à coucher, en bois (sauf sièges)</v>
      </c>
      <c r="C638">
        <v>1990675</v>
      </c>
      <c r="D638">
        <v>7500</v>
      </c>
    </row>
    <row r="639" spans="1:4" x14ac:dyDescent="0.25">
      <c r="A639" t="str">
        <f>T("IR")</f>
        <v>IR</v>
      </c>
      <c r="B639" t="str">
        <f>T("Iran, République Islqmique d'")</f>
        <v>Iran, République Islqmique d'</v>
      </c>
    </row>
    <row r="640" spans="1:4" x14ac:dyDescent="0.25">
      <c r="A640" t="str">
        <f>T("   ZZ_Total_Produit_SH6")</f>
        <v xml:space="preserve">   ZZ_Total_Produit_SH6</v>
      </c>
      <c r="B640" t="str">
        <f>T("   ZZ_Total_Produit_SH6")</f>
        <v xml:space="preserve">   ZZ_Total_Produit_SH6</v>
      </c>
      <c r="C640">
        <v>500000</v>
      </c>
      <c r="D640">
        <v>10000</v>
      </c>
    </row>
    <row r="641" spans="1:4" x14ac:dyDescent="0.25">
      <c r="A641" t="str">
        <f>T("   720429")</f>
        <v xml:space="preserve">   720429</v>
      </c>
      <c r="B641"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641">
        <v>500000</v>
      </c>
      <c r="D641">
        <v>10000</v>
      </c>
    </row>
    <row r="642" spans="1:4" x14ac:dyDescent="0.25">
      <c r="A642" t="str">
        <f>T("IT")</f>
        <v>IT</v>
      </c>
      <c r="B642" t="str">
        <f>T("Italie")</f>
        <v>Italie</v>
      </c>
    </row>
    <row r="643" spans="1:4" x14ac:dyDescent="0.25">
      <c r="A643" t="str">
        <f>T("   ZZ_Total_Produit_SH6")</f>
        <v xml:space="preserve">   ZZ_Total_Produit_SH6</v>
      </c>
      <c r="B643" t="str">
        <f>T("   ZZ_Total_Produit_SH6")</f>
        <v xml:space="preserve">   ZZ_Total_Produit_SH6</v>
      </c>
      <c r="C643">
        <v>174378194</v>
      </c>
      <c r="D643">
        <v>550095</v>
      </c>
    </row>
    <row r="644" spans="1:4" x14ac:dyDescent="0.25">
      <c r="A644" t="str">
        <f>T("   040590")</f>
        <v xml:space="preserve">   040590</v>
      </c>
      <c r="B644" t="str">
        <f>T("   Matières grasses provenant du lait ainsi que beurre déshydraté et ghee (à l'excl. du beurre naturel, du beurre recombiné et du beurre de lactosérum)")</f>
        <v xml:space="preserve">   Matières grasses provenant du lait ainsi que beurre déshydraté et ghee (à l'excl. du beurre naturel, du beurre recombiné et du beurre de lactosérum)</v>
      </c>
      <c r="C644">
        <v>10800</v>
      </c>
      <c r="D644">
        <v>270</v>
      </c>
    </row>
    <row r="645" spans="1:4" x14ac:dyDescent="0.25">
      <c r="A645" t="str">
        <f>T("   080131")</f>
        <v xml:space="preserve">   080131</v>
      </c>
      <c r="B645" t="str">
        <f>T("   Noix de cajou, fraîches ou sèches, en coques")</f>
        <v xml:space="preserve">   Noix de cajou, fraîches ou sèches, en coques</v>
      </c>
      <c r="C645">
        <v>8000000</v>
      </c>
      <c r="D645">
        <v>160000</v>
      </c>
    </row>
    <row r="646" spans="1:4" x14ac:dyDescent="0.25">
      <c r="A646" t="str">
        <f>T("   110290")</f>
        <v xml:space="preserve">   110290</v>
      </c>
      <c r="B646" t="str">
        <f>T("   FARINES DE CÉRÉALES (À L'EXCL. DES FARINES DE FROMENT [BLÉ], DE MÉTEIL, DE SEIGLE ET DE MAÏS)")</f>
        <v xml:space="preserve">   FARINES DE CÉRÉALES (À L'EXCL. DES FARINES DE FROMENT [BLÉ], DE MÉTEIL, DE SEIGLE ET DE MAÏS)</v>
      </c>
      <c r="C646">
        <v>35840</v>
      </c>
      <c r="D646">
        <v>450</v>
      </c>
    </row>
    <row r="647" spans="1:4" x14ac:dyDescent="0.25">
      <c r="A647" t="str">
        <f>T("   151311")</f>
        <v xml:space="preserve">   151311</v>
      </c>
      <c r="B647" t="str">
        <f>T("   Huile de coco [coprah], brute")</f>
        <v xml:space="preserve">   Huile de coco [coprah], brute</v>
      </c>
      <c r="C647">
        <v>1350</v>
      </c>
      <c r="D647">
        <v>435</v>
      </c>
    </row>
    <row r="648" spans="1:4" x14ac:dyDescent="0.25">
      <c r="A648" t="str">
        <f>T("   251690")</f>
        <v xml:space="preserve">   251690</v>
      </c>
      <c r="B648" t="s">
        <v>26</v>
      </c>
      <c r="C648">
        <v>7500000</v>
      </c>
      <c r="D648">
        <v>25000</v>
      </c>
    </row>
    <row r="649" spans="1:4" x14ac:dyDescent="0.25">
      <c r="A649" t="str">
        <f>T("   440729")</f>
        <v xml:space="preserve">   440729</v>
      </c>
      <c r="B649" t="s">
        <v>47</v>
      </c>
      <c r="C649">
        <v>128428204</v>
      </c>
      <c r="D649">
        <v>65000</v>
      </c>
    </row>
    <row r="650" spans="1:4" x14ac:dyDescent="0.25">
      <c r="A650" t="str">
        <f>T("   442010")</f>
        <v xml:space="preserve">   442010</v>
      </c>
      <c r="B650" t="str">
        <f>T("   Statuettes et autres objets d'ornement, en bois (autres que marquetés ou incrustés)")</f>
        <v xml:space="preserve">   Statuettes et autres objets d'ornement, en bois (autres que marquetés ou incrustés)</v>
      </c>
      <c r="C650">
        <v>580000</v>
      </c>
      <c r="D650">
        <v>1000</v>
      </c>
    </row>
    <row r="651" spans="1:4" x14ac:dyDescent="0.25">
      <c r="A651" t="str">
        <f>T("   720429")</f>
        <v xml:space="preserve">   720429</v>
      </c>
      <c r="B651"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651">
        <v>12500000</v>
      </c>
      <c r="D651">
        <v>250000</v>
      </c>
    </row>
    <row r="652" spans="1:4" x14ac:dyDescent="0.25">
      <c r="A652" t="str">
        <f>T("   720430")</f>
        <v xml:space="preserve">   720430</v>
      </c>
      <c r="B652"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652">
        <v>1500000</v>
      </c>
      <c r="D652">
        <v>30000</v>
      </c>
    </row>
    <row r="653" spans="1:4" x14ac:dyDescent="0.25">
      <c r="A653" t="str">
        <f>T("   844399")</f>
        <v xml:space="preserve">   844399</v>
      </c>
      <c r="B653" t="str">
        <f>T("   PARTIES ET ACCESSOIRES D'IMPRIMANTES, DE MACHINES À COPIER ET DE MACHINES À TÉLÉCOPIER, N.D.A. (À L'EXCL. DE MACHINES ET D'APPAREILS SERVANT À L'IMPRESSION AU MOYEN DE PLANCHES, CYLINDRES ET AUTRES ORGANES IMPRIMANTS DU N° 8442)")</f>
        <v xml:space="preserve">   PARTIES ET ACCESSOIRES D'IMPRIMANTES, DE MACHINES À COPIER ET DE MACHINES À TÉLÉCOPIER, N.D.A. (À L'EXCL. DE MACHINES ET D'APPAREILS SERVANT À L'IMPRESSION AU MOYEN DE PLANCHES, CYLINDRES ET AUTRES ORGANES IMPRIMANTS DU N° 8442)</v>
      </c>
      <c r="C653">
        <v>15000000</v>
      </c>
      <c r="D653">
        <v>17600</v>
      </c>
    </row>
    <row r="654" spans="1:4" x14ac:dyDescent="0.25">
      <c r="A654" t="str">
        <f>T("   871120")</f>
        <v xml:space="preserve">   871120</v>
      </c>
      <c r="B654" t="str">
        <f>T("   Motocycles à moteur à piston alternatif, cylindrée &gt; 50 cm³ mais &lt;= 250 cm³")</f>
        <v xml:space="preserve">   Motocycles à moteur à piston alternatif, cylindrée &gt; 50 cm³ mais &lt;= 250 cm³</v>
      </c>
      <c r="C654">
        <v>300000</v>
      </c>
      <c r="D654">
        <v>200</v>
      </c>
    </row>
    <row r="655" spans="1:4" x14ac:dyDescent="0.25">
      <c r="A655" t="str">
        <f>T("   970300")</f>
        <v xml:space="preserve">   970300</v>
      </c>
      <c r="B655" t="str">
        <f>T("   Productions originales de l'art statuaire ou de la sculpture, en toutes matières")</f>
        <v xml:space="preserve">   Productions originales de l'art statuaire ou de la sculpture, en toutes matières</v>
      </c>
      <c r="C655">
        <v>522000</v>
      </c>
      <c r="D655">
        <v>140</v>
      </c>
    </row>
    <row r="656" spans="1:4" x14ac:dyDescent="0.25">
      <c r="A656" t="str">
        <f>T("JP")</f>
        <v>JP</v>
      </c>
      <c r="B656" t="str">
        <f>T("Japon")</f>
        <v>Japon</v>
      </c>
    </row>
    <row r="657" spans="1:4" x14ac:dyDescent="0.25">
      <c r="A657" t="str">
        <f>T("   ZZ_Total_Produit_SH6")</f>
        <v xml:space="preserve">   ZZ_Total_Produit_SH6</v>
      </c>
      <c r="B657" t="str">
        <f>T("   ZZ_Total_Produit_SH6")</f>
        <v xml:space="preserve">   ZZ_Total_Produit_SH6</v>
      </c>
      <c r="C657">
        <v>768279871</v>
      </c>
      <c r="D657">
        <v>261725</v>
      </c>
    </row>
    <row r="658" spans="1:4" x14ac:dyDescent="0.25">
      <c r="A658" t="str">
        <f>T("   720430")</f>
        <v xml:space="preserve">   720430</v>
      </c>
      <c r="B658"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658">
        <v>4919000</v>
      </c>
      <c r="D658">
        <v>98380</v>
      </c>
    </row>
    <row r="659" spans="1:4" x14ac:dyDescent="0.25">
      <c r="A659" t="str">
        <f>T("   731029")</f>
        <v xml:space="preserve">   731029</v>
      </c>
      <c r="B659"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659">
        <v>13038072</v>
      </c>
      <c r="D659">
        <v>6000</v>
      </c>
    </row>
    <row r="660" spans="1:4" x14ac:dyDescent="0.25">
      <c r="A660" t="str">
        <f>T("   820559")</f>
        <v xml:space="preserve">   820559</v>
      </c>
      <c r="B660" t="str">
        <f>T("   Outils à main, y.c. -les diamants de vitrier-, en métaux communs, n.d.a.")</f>
        <v xml:space="preserve">   Outils à main, y.c. -les diamants de vitrier-, en métaux communs, n.d.a.</v>
      </c>
      <c r="C660">
        <v>2451539</v>
      </c>
      <c r="D660">
        <v>4500</v>
      </c>
    </row>
    <row r="661" spans="1:4" x14ac:dyDescent="0.25">
      <c r="A661" t="str">
        <f>T("   841381")</f>
        <v xml:space="preserve">   841381</v>
      </c>
      <c r="B661" t="s">
        <v>76</v>
      </c>
      <c r="C661">
        <v>83803299</v>
      </c>
      <c r="D661">
        <v>21626</v>
      </c>
    </row>
    <row r="662" spans="1:4" x14ac:dyDescent="0.25">
      <c r="A662" t="str">
        <f>T("   843149")</f>
        <v xml:space="preserve">   843149</v>
      </c>
      <c r="B662" t="str">
        <f>T("   Parties de machines et appareils du n° 8426, 8429 ou 8430, n.d.a.")</f>
        <v xml:space="preserve">   Parties de machines et appareils du n° 8426, 8429 ou 8430, n.d.a.</v>
      </c>
      <c r="C662">
        <v>171581880</v>
      </c>
      <c r="D662">
        <v>48119</v>
      </c>
    </row>
    <row r="663" spans="1:4" x14ac:dyDescent="0.25">
      <c r="A663" t="str">
        <f>T("   847431")</f>
        <v xml:space="preserve">   847431</v>
      </c>
      <c r="B663"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663">
        <v>33432066</v>
      </c>
      <c r="D663">
        <v>16000</v>
      </c>
    </row>
    <row r="664" spans="1:4" x14ac:dyDescent="0.25">
      <c r="A664" t="str">
        <f>T("   847910")</f>
        <v xml:space="preserve">   847910</v>
      </c>
      <c r="B664" t="str">
        <f>T("   Machines et appareils pour les travaux publics, le bâtiment ou les travaux analogues, n.d.a.")</f>
        <v xml:space="preserve">   Machines et appareils pour les travaux publics, le bâtiment ou les travaux analogues, n.d.a.</v>
      </c>
      <c r="C664">
        <v>170404902</v>
      </c>
      <c r="D664">
        <v>52100</v>
      </c>
    </row>
    <row r="665" spans="1:4" x14ac:dyDescent="0.25">
      <c r="A665" t="str">
        <f>T("   847989")</f>
        <v xml:space="preserve">   847989</v>
      </c>
      <c r="B665" t="str">
        <f>T("   Machines et appareils, y.c. les appareils mécaniques, n.d.a.")</f>
        <v xml:space="preserve">   Machines et appareils, y.c. les appareils mécaniques, n.d.a.</v>
      </c>
      <c r="C665">
        <v>182316696</v>
      </c>
      <c r="D665">
        <v>4000</v>
      </c>
    </row>
    <row r="666" spans="1:4" x14ac:dyDescent="0.25">
      <c r="A666" t="str">
        <f>T("   850213")</f>
        <v xml:space="preserve">   850213</v>
      </c>
      <c r="B666" t="s">
        <v>82</v>
      </c>
      <c r="C666">
        <v>96581519</v>
      </c>
      <c r="D666">
        <v>6000</v>
      </c>
    </row>
    <row r="667" spans="1:4" x14ac:dyDescent="0.25">
      <c r="A667" t="str">
        <f>T("   851529")</f>
        <v xml:space="preserve">   851529</v>
      </c>
      <c r="B667" t="str">
        <f>T("   MACHINES ET APPAREILS POUR LE SOUDAGE DES MÉTAUX PAR RÉSISTANCE, NON-AUTOMATIQUES")</f>
        <v xml:space="preserve">   MACHINES ET APPAREILS POUR LE SOUDAGE DES MÉTAUX PAR RÉSISTANCE, NON-AUTOMATIQUES</v>
      </c>
      <c r="C667">
        <v>1671530</v>
      </c>
      <c r="D667">
        <v>1500</v>
      </c>
    </row>
    <row r="668" spans="1:4" x14ac:dyDescent="0.25">
      <c r="A668" t="str">
        <f>T("   853669")</f>
        <v xml:space="preserve">   853669</v>
      </c>
      <c r="B668" t="str">
        <f>T("   Fiches et prises de courant, pour une tension &lt;= 1.000 V (sauf douilles pour lampes)")</f>
        <v xml:space="preserve">   Fiches et prises de courant, pour une tension &lt;= 1.000 V (sauf douilles pour lampes)</v>
      </c>
      <c r="C668">
        <v>5293490</v>
      </c>
      <c r="D668">
        <v>2000</v>
      </c>
    </row>
    <row r="669" spans="1:4" x14ac:dyDescent="0.25">
      <c r="A669" t="str">
        <f>T("   854460")</f>
        <v xml:space="preserve">   854460</v>
      </c>
      <c r="B669" t="str">
        <f>T("   Conducteurs électriques, pour tension &gt; 1.000 V, n.d.a.")</f>
        <v xml:space="preserve">   Conducteurs électriques, pour tension &gt; 1.000 V, n.d.a.</v>
      </c>
      <c r="C669">
        <v>2785878</v>
      </c>
      <c r="D669">
        <v>1500</v>
      </c>
    </row>
    <row r="670" spans="1:4" x14ac:dyDescent="0.25">
      <c r="A670" t="str">
        <f>T("KE")</f>
        <v>KE</v>
      </c>
      <c r="B670" t="str">
        <f>T("Kenya")</f>
        <v>Kenya</v>
      </c>
    </row>
    <row r="671" spans="1:4" x14ac:dyDescent="0.25">
      <c r="A671" t="str">
        <f>T("   ZZ_Total_Produit_SH6")</f>
        <v xml:space="preserve">   ZZ_Total_Produit_SH6</v>
      </c>
      <c r="B671" t="str">
        <f>T("   ZZ_Total_Produit_SH6")</f>
        <v xml:space="preserve">   ZZ_Total_Produit_SH6</v>
      </c>
      <c r="C671">
        <v>23199000</v>
      </c>
      <c r="D671">
        <v>10000</v>
      </c>
    </row>
    <row r="672" spans="1:4" x14ac:dyDescent="0.25">
      <c r="A672" t="str">
        <f>T("   490199")</f>
        <v xml:space="preserve">   490199</v>
      </c>
      <c r="B67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72">
        <v>150000</v>
      </c>
      <c r="D672">
        <v>200</v>
      </c>
    </row>
    <row r="673" spans="1:4" x14ac:dyDescent="0.25">
      <c r="A673" t="str">
        <f>T("   620590")</f>
        <v xml:space="preserve">   620590</v>
      </c>
      <c r="B67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73">
        <v>1900000</v>
      </c>
      <c r="D673">
        <v>2050</v>
      </c>
    </row>
    <row r="674" spans="1:4" x14ac:dyDescent="0.25">
      <c r="A674" t="str">
        <f>T("   732394")</f>
        <v xml:space="preserve">   732394</v>
      </c>
      <c r="B674" t="s">
        <v>67</v>
      </c>
      <c r="C674">
        <v>600000</v>
      </c>
      <c r="D674">
        <v>700</v>
      </c>
    </row>
    <row r="675" spans="1:4" x14ac:dyDescent="0.25">
      <c r="A675" t="str">
        <f>T("   870323")</f>
        <v xml:space="preserve">   870323</v>
      </c>
      <c r="B675" t="s">
        <v>88</v>
      </c>
      <c r="C675">
        <v>16699000</v>
      </c>
      <c r="D675">
        <v>1850</v>
      </c>
    </row>
    <row r="676" spans="1:4" x14ac:dyDescent="0.25">
      <c r="A676" t="str">
        <f>T("   940350")</f>
        <v xml:space="preserve">   940350</v>
      </c>
      <c r="B676" t="str">
        <f>T("   Meubles pour chambres à coucher, en bois (sauf sièges)")</f>
        <v xml:space="preserve">   Meubles pour chambres à coucher, en bois (sauf sièges)</v>
      </c>
      <c r="C676">
        <v>3850000</v>
      </c>
      <c r="D676">
        <v>5200</v>
      </c>
    </row>
    <row r="677" spans="1:4" x14ac:dyDescent="0.25">
      <c r="A677" t="str">
        <f>T("KH")</f>
        <v>KH</v>
      </c>
      <c r="B677" t="str">
        <f>T("Cambodge")</f>
        <v>Cambodge</v>
      </c>
    </row>
    <row r="678" spans="1:4" x14ac:dyDescent="0.25">
      <c r="A678" t="str">
        <f>T("   ZZ_Total_Produit_SH6")</f>
        <v xml:space="preserve">   ZZ_Total_Produit_SH6</v>
      </c>
      <c r="B678" t="str">
        <f>T("   ZZ_Total_Produit_SH6")</f>
        <v xml:space="preserve">   ZZ_Total_Produit_SH6</v>
      </c>
      <c r="C678">
        <v>3006966</v>
      </c>
      <c r="D678">
        <v>3345</v>
      </c>
    </row>
    <row r="679" spans="1:4" x14ac:dyDescent="0.25">
      <c r="A679" t="str">
        <f>T("   490199")</f>
        <v xml:space="preserve">   490199</v>
      </c>
      <c r="B67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79">
        <v>200000</v>
      </c>
      <c r="D679">
        <v>150</v>
      </c>
    </row>
    <row r="680" spans="1:4" x14ac:dyDescent="0.25">
      <c r="A680" t="str">
        <f>T("   620590")</f>
        <v xml:space="preserve">   620590</v>
      </c>
      <c r="B68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80">
        <v>500000</v>
      </c>
      <c r="D680">
        <v>650</v>
      </c>
    </row>
    <row r="681" spans="1:4" x14ac:dyDescent="0.25">
      <c r="A681" t="str">
        <f>T("   870322")</f>
        <v xml:space="preserve">   870322</v>
      </c>
      <c r="B681" t="s">
        <v>87</v>
      </c>
      <c r="C681">
        <v>1506966</v>
      </c>
      <c r="D681">
        <v>1345</v>
      </c>
    </row>
    <row r="682" spans="1:4" x14ac:dyDescent="0.25">
      <c r="A682" t="str">
        <f>T("   940350")</f>
        <v xml:space="preserve">   940350</v>
      </c>
      <c r="B682" t="str">
        <f>T("   Meubles pour chambres à coucher, en bois (sauf sièges)")</f>
        <v xml:space="preserve">   Meubles pour chambres à coucher, en bois (sauf sièges)</v>
      </c>
      <c r="C682">
        <v>800000</v>
      </c>
      <c r="D682">
        <v>1200</v>
      </c>
    </row>
    <row r="683" spans="1:4" x14ac:dyDescent="0.25">
      <c r="A683" t="str">
        <f>T("KR")</f>
        <v>KR</v>
      </c>
      <c r="B683" t="str">
        <f>T("Corée, République de")</f>
        <v>Corée, République de</v>
      </c>
    </row>
    <row r="684" spans="1:4" x14ac:dyDescent="0.25">
      <c r="A684" t="str">
        <f>T("   ZZ_Total_Produit_SH6")</f>
        <v xml:space="preserve">   ZZ_Total_Produit_SH6</v>
      </c>
      <c r="B684" t="str">
        <f>T("   ZZ_Total_Produit_SH6")</f>
        <v xml:space="preserve">   ZZ_Total_Produit_SH6</v>
      </c>
      <c r="C684">
        <v>27500000</v>
      </c>
      <c r="D684">
        <v>550000</v>
      </c>
    </row>
    <row r="685" spans="1:4" x14ac:dyDescent="0.25">
      <c r="A685" t="str">
        <f>T("   720429")</f>
        <v xml:space="preserve">   720429</v>
      </c>
      <c r="B685"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685">
        <v>24500000</v>
      </c>
      <c r="D685">
        <v>490000</v>
      </c>
    </row>
    <row r="686" spans="1:4" x14ac:dyDescent="0.25">
      <c r="A686" t="str">
        <f>T("   720430")</f>
        <v xml:space="preserve">   720430</v>
      </c>
      <c r="B686"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686">
        <v>1500000</v>
      </c>
      <c r="D686">
        <v>30000</v>
      </c>
    </row>
    <row r="687" spans="1:4" x14ac:dyDescent="0.25">
      <c r="A687" t="str">
        <f>T("   760200")</f>
        <v xml:space="preserve">   760200</v>
      </c>
      <c r="B687" t="s">
        <v>70</v>
      </c>
      <c r="C687">
        <v>1000000</v>
      </c>
      <c r="D687">
        <v>20000</v>
      </c>
    </row>
    <row r="688" spans="1:4" x14ac:dyDescent="0.25">
      <c r="A688" t="str">
        <f>T("   854810")</f>
        <v xml:space="preserve">   854810</v>
      </c>
      <c r="B688" t="str">
        <f>T("   Déchets et débris de piles, de batteries de piles et d'accumulateurs électriques; piles et batteries de piles électriques hors d'usage et accumulateurs électriques hors d'usage")</f>
        <v xml:space="preserve">   Déchets et débris de piles, de batteries de piles et d'accumulateurs électriques; piles et batteries de piles électriques hors d'usage et accumulateurs électriques hors d'usage</v>
      </c>
      <c r="C688">
        <v>500000</v>
      </c>
      <c r="D688">
        <v>10000</v>
      </c>
    </row>
    <row r="689" spans="1:4" x14ac:dyDescent="0.25">
      <c r="A689" t="str">
        <f>T("KY")</f>
        <v>KY</v>
      </c>
      <c r="B689" t="str">
        <f>T("Caïmans, îles")</f>
        <v>Caïmans, îles</v>
      </c>
    </row>
    <row r="690" spans="1:4" x14ac:dyDescent="0.25">
      <c r="A690" t="str">
        <f>T("   ZZ_Total_Produit_SH6")</f>
        <v xml:space="preserve">   ZZ_Total_Produit_SH6</v>
      </c>
      <c r="B690" t="str">
        <f>T("   ZZ_Total_Produit_SH6")</f>
        <v xml:space="preserve">   ZZ_Total_Produit_SH6</v>
      </c>
      <c r="C690">
        <v>135531</v>
      </c>
      <c r="D690">
        <v>65</v>
      </c>
    </row>
    <row r="691" spans="1:4" x14ac:dyDescent="0.25">
      <c r="A691" t="str">
        <f>T("   870899")</f>
        <v xml:space="preserve">   870899</v>
      </c>
      <c r="B691"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691">
        <v>135531</v>
      </c>
      <c r="D691">
        <v>65</v>
      </c>
    </row>
    <row r="692" spans="1:4" x14ac:dyDescent="0.25">
      <c r="A692" t="str">
        <f>T("LB")</f>
        <v>LB</v>
      </c>
      <c r="B692" t="str">
        <f>T("Liban")</f>
        <v>Liban</v>
      </c>
    </row>
    <row r="693" spans="1:4" x14ac:dyDescent="0.25">
      <c r="A693" t="str">
        <f>T("   ZZ_Total_Produit_SH6")</f>
        <v xml:space="preserve">   ZZ_Total_Produit_SH6</v>
      </c>
      <c r="B693" t="str">
        <f>T("   ZZ_Total_Produit_SH6")</f>
        <v xml:space="preserve">   ZZ_Total_Produit_SH6</v>
      </c>
      <c r="C693">
        <v>35657051</v>
      </c>
      <c r="D693">
        <v>361714</v>
      </c>
    </row>
    <row r="694" spans="1:4" x14ac:dyDescent="0.25">
      <c r="A694" t="str">
        <f>T("   440130")</f>
        <v xml:space="preserve">   440130</v>
      </c>
      <c r="B694" t="str">
        <f>T("   Sciures, déchets et débris de bois, même agglomérés sous forme de bûches, briquettes, boulettes ou sous formes simil.")</f>
        <v xml:space="preserve">   Sciures, déchets et débris de bois, même agglomérés sous forme de bûches, briquettes, boulettes ou sous formes simil.</v>
      </c>
      <c r="C694">
        <v>5295000</v>
      </c>
      <c r="D694">
        <v>50000</v>
      </c>
    </row>
    <row r="695" spans="1:4" x14ac:dyDescent="0.25">
      <c r="A695" t="str">
        <f>T("   440200")</f>
        <v xml:space="preserve">   440200</v>
      </c>
      <c r="B695" t="str">
        <f>T("   Charbon de bois - y.c. le charbon de coques ou de noix -, même aggloméré (à l'excl. des fusains et du charbon de bois conditionné comme médicament, mélangé d'encens ou activé)")</f>
        <v xml:space="preserve">   Charbon de bois - y.c. le charbon de coques ou de noix -, même aggloméré (à l'excl. des fusains et du charbon de bois conditionné comme médicament, mélangé d'encens ou activé)</v>
      </c>
      <c r="C695">
        <v>5034000</v>
      </c>
      <c r="D695">
        <v>58750</v>
      </c>
    </row>
    <row r="696" spans="1:4" x14ac:dyDescent="0.25">
      <c r="A696" t="str">
        <f>T("   440290")</f>
        <v xml:space="preserve">   440290</v>
      </c>
      <c r="B696" t="str">
        <f>T("   CHARBON DE BOIS - Y.C. LE CHARBON DE COQUES OU DE NOIX -, MÊME AGGLOMÉRÉ (À L'EXCL. DU CHARBON DE BAMBOU, DES FUSAINS ET DU CHARBON DE BOIS CONDITIONNÉ COMME MÉDICAMENT, MÉLANGÉ D'ENCENS OU ACTIVÉ) AUTRES")</f>
        <v xml:space="preserve">   CHARBON DE BOIS - Y.C. LE CHARBON DE COQUES OU DE NOIX -, MÊME AGGLOMÉRÉ (À L'EXCL. DU CHARBON DE BAMBOU, DES FUSAINS ET DU CHARBON DE BOIS CONDITIONNÉ COMME MÉDICAMENT, MÉLANGÉ D'ENCENS OU ACTIVÉ) AUTRES</v>
      </c>
      <c r="C696">
        <v>12508400</v>
      </c>
      <c r="D696">
        <v>181070</v>
      </c>
    </row>
    <row r="697" spans="1:4" x14ac:dyDescent="0.25">
      <c r="A697" t="str">
        <f>T("   440729")</f>
        <v xml:space="preserve">   440729</v>
      </c>
      <c r="B697" t="s">
        <v>47</v>
      </c>
      <c r="C697">
        <v>4783500</v>
      </c>
      <c r="D697">
        <v>45222</v>
      </c>
    </row>
    <row r="698" spans="1:4" x14ac:dyDescent="0.25">
      <c r="A698" t="str">
        <f>T("   680223")</f>
        <v xml:space="preserve">   680223</v>
      </c>
      <c r="B698" t="str">
        <f>T("   Granit et ouvrages en ces pierres, simplement taillés ou sciés, à surface plane ou unie (sauf à surface entièrement ou partiellement rabotée, poncée au papier sablé, grossièrement ou finement meulée ou polie; non du n° 6801.00.00 ou 6802.10.00)")</f>
        <v xml:space="preserve">   Granit et ouvrages en ces pierres, simplement taillés ou sciés, à surface plane ou unie (sauf à surface entièrement ou partiellement rabotée, poncée au papier sablé, grossièrement ou finement meulée ou polie; non du n° 6801.00.00 ou 6802.10.00)</v>
      </c>
      <c r="C698">
        <v>100000</v>
      </c>
      <c r="D698">
        <v>20000</v>
      </c>
    </row>
    <row r="699" spans="1:4" x14ac:dyDescent="0.25">
      <c r="A699" t="str">
        <f>T("   870322")</f>
        <v xml:space="preserve">   870322</v>
      </c>
      <c r="B699" t="s">
        <v>87</v>
      </c>
      <c r="C699">
        <v>1000000</v>
      </c>
      <c r="D699">
        <v>1000</v>
      </c>
    </row>
    <row r="700" spans="1:4" x14ac:dyDescent="0.25">
      <c r="A700" t="str">
        <f>T("   870323")</f>
        <v xml:space="preserve">   870323</v>
      </c>
      <c r="B700" t="s">
        <v>88</v>
      </c>
      <c r="C700">
        <v>2400000</v>
      </c>
      <c r="D700">
        <v>2650</v>
      </c>
    </row>
    <row r="701" spans="1:4" x14ac:dyDescent="0.25">
      <c r="A701" t="str">
        <f>T("   871110")</f>
        <v xml:space="preserve">   871110</v>
      </c>
      <c r="B701" t="str">
        <f>T("   Cyclomoteurs, à moteur à piston alternatif, cylindrée &lt;= 50 cm³, y.c. cycles à moteur auxiliaire")</f>
        <v xml:space="preserve">   Cyclomoteurs, à moteur à piston alternatif, cylindrée &lt;= 50 cm³, y.c. cycles à moteur auxiliaire</v>
      </c>
      <c r="C701">
        <v>1576928</v>
      </c>
      <c r="D701">
        <v>422</v>
      </c>
    </row>
    <row r="702" spans="1:4" x14ac:dyDescent="0.25">
      <c r="A702" t="str">
        <f>T("   890710")</f>
        <v xml:space="preserve">   890710</v>
      </c>
      <c r="B702" t="str">
        <f>T("   Radeaux gonflables")</f>
        <v xml:space="preserve">   Radeaux gonflables</v>
      </c>
      <c r="C702">
        <v>959223</v>
      </c>
      <c r="D702">
        <v>100</v>
      </c>
    </row>
    <row r="703" spans="1:4" x14ac:dyDescent="0.25">
      <c r="A703" t="str">
        <f>T("   940350")</f>
        <v xml:space="preserve">   940350</v>
      </c>
      <c r="B703" t="str">
        <f>T("   Meubles pour chambres à coucher, en bois (sauf sièges)")</f>
        <v xml:space="preserve">   Meubles pour chambres à coucher, en bois (sauf sièges)</v>
      </c>
      <c r="C703">
        <v>2000000</v>
      </c>
      <c r="D703">
        <v>2500</v>
      </c>
    </row>
    <row r="704" spans="1:4" x14ac:dyDescent="0.25">
      <c r="A704" t="str">
        <f>T("LK")</f>
        <v>LK</v>
      </c>
      <c r="B704" t="str">
        <f>T("Sri Lanka")</f>
        <v>Sri Lanka</v>
      </c>
    </row>
    <row r="705" spans="1:4" x14ac:dyDescent="0.25">
      <c r="A705" t="str">
        <f>T("   ZZ_Total_Produit_SH6")</f>
        <v xml:space="preserve">   ZZ_Total_Produit_SH6</v>
      </c>
      <c r="B705" t="str">
        <f>T("   ZZ_Total_Produit_SH6")</f>
        <v xml:space="preserve">   ZZ_Total_Produit_SH6</v>
      </c>
      <c r="C705">
        <v>11750088</v>
      </c>
      <c r="D705">
        <v>29085</v>
      </c>
    </row>
    <row r="706" spans="1:4" x14ac:dyDescent="0.25">
      <c r="A706" t="str">
        <f>T("   490199")</f>
        <v xml:space="preserve">   490199</v>
      </c>
      <c r="B70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06">
        <v>3750000</v>
      </c>
      <c r="D706">
        <v>4600</v>
      </c>
    </row>
    <row r="707" spans="1:4" x14ac:dyDescent="0.25">
      <c r="A707" t="str">
        <f>T("   850710")</f>
        <v xml:space="preserve">   850710</v>
      </c>
      <c r="B707" t="str">
        <f>T("   Accumulateurs au plomb, pour le démarrage des moteurs à piston (sauf hors d'usage)")</f>
        <v xml:space="preserve">   Accumulateurs au plomb, pour le démarrage des moteurs à piston (sauf hors d'usage)</v>
      </c>
      <c r="C707">
        <v>8000088</v>
      </c>
      <c r="D707">
        <v>24485</v>
      </c>
    </row>
    <row r="708" spans="1:4" x14ac:dyDescent="0.25">
      <c r="A708" t="str">
        <f>T("LR")</f>
        <v>LR</v>
      </c>
      <c r="B708" t="str">
        <f>T("Libéria")</f>
        <v>Libéria</v>
      </c>
    </row>
    <row r="709" spans="1:4" x14ac:dyDescent="0.25">
      <c r="A709" t="str">
        <f>T("   ZZ_Total_Produit_SH6")</f>
        <v xml:space="preserve">   ZZ_Total_Produit_SH6</v>
      </c>
      <c r="B709" t="str">
        <f>T("   ZZ_Total_Produit_SH6")</f>
        <v xml:space="preserve">   ZZ_Total_Produit_SH6</v>
      </c>
      <c r="C709">
        <v>191660003</v>
      </c>
      <c r="D709">
        <v>34922</v>
      </c>
    </row>
    <row r="710" spans="1:4" x14ac:dyDescent="0.25">
      <c r="A710" t="str">
        <f>T("   110311")</f>
        <v xml:space="preserve">   110311</v>
      </c>
      <c r="B710" t="str">
        <f>T("   Gruaux et semoules de froment [blé]")</f>
        <v xml:space="preserve">   Gruaux et semoules de froment [blé]</v>
      </c>
      <c r="C710">
        <v>1705597</v>
      </c>
      <c r="D710">
        <v>6000</v>
      </c>
    </row>
    <row r="711" spans="1:4" x14ac:dyDescent="0.25">
      <c r="A711" t="str">
        <f>T("   120799")</f>
        <v xml:space="preserve">   120799</v>
      </c>
      <c r="B711" t="s">
        <v>16</v>
      </c>
      <c r="C711">
        <v>36077636</v>
      </c>
      <c r="D711">
        <v>402</v>
      </c>
    </row>
    <row r="712" spans="1:4" x14ac:dyDescent="0.25">
      <c r="A712" t="str">
        <f>T("   121230")</f>
        <v xml:space="preserve">   121230</v>
      </c>
      <c r="B712" t="str">
        <f>T("   Noyaux et amandes d'abricots, de pêches [y.c. des brugnons et nectarines] ou de prunes")</f>
        <v xml:space="preserve">   Noyaux et amandes d'abricots, de pêches [y.c. des brugnons et nectarines] ou de prunes</v>
      </c>
      <c r="C712">
        <v>148351239</v>
      </c>
      <c r="D712">
        <v>1638</v>
      </c>
    </row>
    <row r="713" spans="1:4" x14ac:dyDescent="0.25">
      <c r="A713" t="str">
        <f>T("   190230")</f>
        <v xml:space="preserve">   190230</v>
      </c>
      <c r="B713" t="str">
        <f>T("   Pâtes alimentaires, cuites ou autrement préparées (à l'excl. des pâtes alimentaires farcies)")</f>
        <v xml:space="preserve">   Pâtes alimentaires, cuites ou autrement préparées (à l'excl. des pâtes alimentaires farcies)</v>
      </c>
      <c r="C713">
        <v>4336628</v>
      </c>
      <c r="D713">
        <v>25500</v>
      </c>
    </row>
    <row r="714" spans="1:4" x14ac:dyDescent="0.25">
      <c r="A714" t="str">
        <f>T("   392020")</f>
        <v xml:space="preserve">   392020</v>
      </c>
      <c r="B714" t="s">
        <v>39</v>
      </c>
      <c r="C714">
        <v>871394</v>
      </c>
      <c r="D714">
        <v>500</v>
      </c>
    </row>
    <row r="715" spans="1:4" x14ac:dyDescent="0.25">
      <c r="A715" t="str">
        <f>T("   481960")</f>
        <v xml:space="preserve">   481960</v>
      </c>
      <c r="B715" t="str">
        <f>T("   Cartonnages de bureau, de magasin ou simil., rigides (à l'excl. des emballages)")</f>
        <v xml:space="preserve">   Cartonnages de bureau, de magasin ou simil., rigides (à l'excl. des emballages)</v>
      </c>
      <c r="C715">
        <v>317509</v>
      </c>
      <c r="D715">
        <v>882</v>
      </c>
    </row>
    <row r="716" spans="1:4" x14ac:dyDescent="0.25">
      <c r="A716" t="str">
        <f>T("LY")</f>
        <v>LY</v>
      </c>
      <c r="B716" t="str">
        <f>T("Libyenne, Jamahiriya Arabe")</f>
        <v>Libyenne, Jamahiriya Arabe</v>
      </c>
    </row>
    <row r="717" spans="1:4" x14ac:dyDescent="0.25">
      <c r="A717" t="str">
        <f>T("   ZZ_Total_Produit_SH6")</f>
        <v xml:space="preserve">   ZZ_Total_Produit_SH6</v>
      </c>
      <c r="B717" t="str">
        <f>T("   ZZ_Total_Produit_SH6")</f>
        <v xml:space="preserve">   ZZ_Total_Produit_SH6</v>
      </c>
      <c r="C717">
        <v>35203966</v>
      </c>
      <c r="D717">
        <v>134065</v>
      </c>
    </row>
    <row r="718" spans="1:4" x14ac:dyDescent="0.25">
      <c r="A718" t="str">
        <f>T("   200939")</f>
        <v xml:space="preserve">   200939</v>
      </c>
      <c r="B718" t="str">
        <f>T("   JUS D'AGRUMES, NON-FERMENTÉS, SANS ADDITION D'ALCOOL, AVEC OU SANS ADDITION DE SUCRE OU D'AUTRES ÉDULCORANTS, D'UNE VALEUR BRIX &gt; 20 À 20°C (À L'EXCL. DES MÉLANGES AINSI QUE DES JUS D'ORANGE, DE PAMPLEMOUSSE OU DE POMELO)")</f>
        <v xml:space="preserve">   JUS D'AGRUMES, NON-FERMENTÉS, SANS ADDITION D'ALCOOL, AVEC OU SANS ADDITION DE SUCRE OU D'AUTRES ÉDULCORANTS, D'UNE VALEUR BRIX &gt; 20 À 20°C (À L'EXCL. DES MÉLANGES AINSI QUE DES JUS D'ORANGE, DE PAMPLEMOUSSE OU DE POMELO)</v>
      </c>
      <c r="C718">
        <v>2000000</v>
      </c>
      <c r="D718">
        <v>10000</v>
      </c>
    </row>
    <row r="719" spans="1:4" x14ac:dyDescent="0.25">
      <c r="A719" t="str">
        <f>T("   200980")</f>
        <v xml:space="preserve">   200980</v>
      </c>
      <c r="B719"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719">
        <v>4600000</v>
      </c>
      <c r="D719">
        <v>40000</v>
      </c>
    </row>
    <row r="720" spans="1:4" x14ac:dyDescent="0.25">
      <c r="A720" t="str">
        <f>T("   210111")</f>
        <v xml:space="preserve">   210111</v>
      </c>
      <c r="B720" t="str">
        <f>T("   Extraits, essences et concentrés de café")</f>
        <v xml:space="preserve">   Extraits, essences et concentrés de café</v>
      </c>
      <c r="C720">
        <v>3500000</v>
      </c>
      <c r="D720">
        <v>30000</v>
      </c>
    </row>
    <row r="721" spans="1:4" x14ac:dyDescent="0.25">
      <c r="A721" t="str">
        <f>T("   340290")</f>
        <v xml:space="preserve">   340290</v>
      </c>
      <c r="B721" t="s">
        <v>36</v>
      </c>
      <c r="C721">
        <v>1000000</v>
      </c>
      <c r="D721">
        <v>28112</v>
      </c>
    </row>
    <row r="722" spans="1:4" x14ac:dyDescent="0.25">
      <c r="A722" t="str">
        <f>T("   392350")</f>
        <v xml:space="preserve">   392350</v>
      </c>
      <c r="B722" t="str">
        <f>T("   Bouchons, couvercles, capsules et autres dispositifs de fermeture, en matières plastiques")</f>
        <v xml:space="preserve">   Bouchons, couvercles, capsules et autres dispositifs de fermeture, en matières plastiques</v>
      </c>
      <c r="C722">
        <v>1422778</v>
      </c>
      <c r="D722">
        <v>250</v>
      </c>
    </row>
    <row r="723" spans="1:4" x14ac:dyDescent="0.25">
      <c r="A723" t="str">
        <f>T("   701090")</f>
        <v xml:space="preserve">   701090</v>
      </c>
      <c r="B723" t="s">
        <v>63</v>
      </c>
      <c r="C723">
        <v>10937478</v>
      </c>
      <c r="D723">
        <v>22823</v>
      </c>
    </row>
    <row r="724" spans="1:4" x14ac:dyDescent="0.25">
      <c r="A724" t="str">
        <f>T("   830990")</f>
        <v xml:space="preserve">   830990</v>
      </c>
      <c r="B724"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724">
        <v>179078</v>
      </c>
      <c r="D724">
        <v>280</v>
      </c>
    </row>
    <row r="725" spans="1:4" x14ac:dyDescent="0.25">
      <c r="A725" t="str">
        <f>T("   841829")</f>
        <v xml:space="preserve">   841829</v>
      </c>
      <c r="B725" t="str">
        <f>T("   Réfrigérateurs ménagers à absorption, non-électriques")</f>
        <v xml:space="preserve">   Réfrigérateurs ménagers à absorption, non-électriques</v>
      </c>
      <c r="C725">
        <v>50000</v>
      </c>
      <c r="D725">
        <v>20</v>
      </c>
    </row>
    <row r="726" spans="1:4" x14ac:dyDescent="0.25">
      <c r="A726" t="str">
        <f>T("   870324")</f>
        <v xml:space="preserve">   870324</v>
      </c>
      <c r="B726" t="s">
        <v>89</v>
      </c>
      <c r="C726">
        <v>9314632</v>
      </c>
      <c r="D726">
        <v>1580</v>
      </c>
    </row>
    <row r="727" spans="1:4" x14ac:dyDescent="0.25">
      <c r="A727" t="str">
        <f>T("   871130")</f>
        <v xml:space="preserve">   871130</v>
      </c>
      <c r="B727" t="str">
        <f>T("   Motocycles à moteur à piston alternatif, cylindrée &gt; 250 cm³ mais &lt;= 500 cm³")</f>
        <v xml:space="preserve">   Motocycles à moteur à piston alternatif, cylindrée &gt; 250 cm³ mais &lt;= 500 cm³</v>
      </c>
      <c r="C727">
        <v>700000</v>
      </c>
      <c r="D727">
        <v>200</v>
      </c>
    </row>
    <row r="728" spans="1:4" x14ac:dyDescent="0.25">
      <c r="A728" t="str">
        <f>T("   940350")</f>
        <v xml:space="preserve">   940350</v>
      </c>
      <c r="B728" t="str">
        <f>T("   Meubles pour chambres à coucher, en bois (sauf sièges)")</f>
        <v xml:space="preserve">   Meubles pour chambres à coucher, en bois (sauf sièges)</v>
      </c>
      <c r="C728">
        <v>1500000</v>
      </c>
      <c r="D728">
        <v>800</v>
      </c>
    </row>
    <row r="729" spans="1:4" x14ac:dyDescent="0.25">
      <c r="A729" t="str">
        <f>T("MA")</f>
        <v>MA</v>
      </c>
      <c r="B729" t="str">
        <f>T("Maroc")</f>
        <v>Maroc</v>
      </c>
    </row>
    <row r="730" spans="1:4" x14ac:dyDescent="0.25">
      <c r="A730" t="str">
        <f>T("   ZZ_Total_Produit_SH6")</f>
        <v xml:space="preserve">   ZZ_Total_Produit_SH6</v>
      </c>
      <c r="B730" t="str">
        <f>T("   ZZ_Total_Produit_SH6")</f>
        <v xml:space="preserve">   ZZ_Total_Produit_SH6</v>
      </c>
      <c r="C730">
        <v>538813866</v>
      </c>
      <c r="D730">
        <v>892461</v>
      </c>
    </row>
    <row r="731" spans="1:4" x14ac:dyDescent="0.25">
      <c r="A731" t="str">
        <f>T("   040510")</f>
        <v xml:space="preserve">   040510</v>
      </c>
      <c r="B731" t="str">
        <f>T("   Beurre (sauf beurre déshydraté et ghee)")</f>
        <v xml:space="preserve">   Beurre (sauf beurre déshydraté et ghee)</v>
      </c>
      <c r="C731">
        <v>590000</v>
      </c>
      <c r="D731">
        <v>500</v>
      </c>
    </row>
    <row r="732" spans="1:4" x14ac:dyDescent="0.25">
      <c r="A732" t="str">
        <f>T("   080131")</f>
        <v xml:space="preserve">   080131</v>
      </c>
      <c r="B732" t="str">
        <f>T("   Noix de cajou, fraîches ou sèches, en coques")</f>
        <v xml:space="preserve">   Noix de cajou, fraîches ou sèches, en coques</v>
      </c>
      <c r="C732">
        <v>32405400</v>
      </c>
      <c r="D732">
        <v>149770</v>
      </c>
    </row>
    <row r="733" spans="1:4" x14ac:dyDescent="0.25">
      <c r="A733" t="str">
        <f>T("   091010")</f>
        <v xml:space="preserve">   091010</v>
      </c>
      <c r="B733" t="str">
        <f>T("   Gingembre")</f>
        <v xml:space="preserve">   Gingembre</v>
      </c>
      <c r="C733">
        <v>22068000</v>
      </c>
      <c r="D733">
        <v>138240</v>
      </c>
    </row>
    <row r="734" spans="1:4" x14ac:dyDescent="0.25">
      <c r="A734" t="str">
        <f>T("   440399")</f>
        <v xml:space="preserve">   440399</v>
      </c>
      <c r="B734" t="s">
        <v>46</v>
      </c>
      <c r="C734">
        <v>1000000</v>
      </c>
      <c r="D734">
        <v>20000</v>
      </c>
    </row>
    <row r="735" spans="1:4" x14ac:dyDescent="0.25">
      <c r="A735" t="str">
        <f>T("   520100")</f>
        <v xml:space="preserve">   520100</v>
      </c>
      <c r="B735" t="str">
        <f>T("   COTON, NON-CARDÉ NI PEIGNÉ")</f>
        <v xml:space="preserve">   COTON, NON-CARDÉ NI PEIGNÉ</v>
      </c>
      <c r="C735">
        <v>474882119</v>
      </c>
      <c r="D735">
        <v>577899</v>
      </c>
    </row>
    <row r="736" spans="1:4" x14ac:dyDescent="0.25">
      <c r="A736" t="str">
        <f>T("   630590")</f>
        <v xml:space="preserve">   630590</v>
      </c>
      <c r="B736"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736">
        <v>1034529</v>
      </c>
      <c r="D736">
        <v>4380</v>
      </c>
    </row>
    <row r="737" spans="1:4" x14ac:dyDescent="0.25">
      <c r="A737" t="str">
        <f>T("   854690")</f>
        <v xml:space="preserve">   854690</v>
      </c>
      <c r="B737" t="str">
        <f>T("   Isolateurs pour usages électriques (sauf en verre ou en céramique et sauf pièces isolantes)")</f>
        <v xml:space="preserve">   Isolateurs pour usages électriques (sauf en verre ou en céramique et sauf pièces isolantes)</v>
      </c>
      <c r="C737">
        <v>6833818</v>
      </c>
      <c r="D737">
        <v>1672</v>
      </c>
    </row>
    <row r="738" spans="1:4" x14ac:dyDescent="0.25">
      <c r="A738" t="str">
        <f>T("MC")</f>
        <v>MC</v>
      </c>
      <c r="B738" t="str">
        <f>T("Monaco")</f>
        <v>Monaco</v>
      </c>
    </row>
    <row r="739" spans="1:4" x14ac:dyDescent="0.25">
      <c r="A739" t="str">
        <f>T("   ZZ_Total_Produit_SH6")</f>
        <v xml:space="preserve">   ZZ_Total_Produit_SH6</v>
      </c>
      <c r="B739" t="str">
        <f>T("   ZZ_Total_Produit_SH6")</f>
        <v xml:space="preserve">   ZZ_Total_Produit_SH6</v>
      </c>
      <c r="C739">
        <v>6456200</v>
      </c>
      <c r="D739">
        <v>32281</v>
      </c>
    </row>
    <row r="740" spans="1:4" x14ac:dyDescent="0.25">
      <c r="A740" t="str">
        <f>T("   080131")</f>
        <v xml:space="preserve">   080131</v>
      </c>
      <c r="B740" t="str">
        <f>T("   Noix de cajou, fraîches ou sèches, en coques")</f>
        <v xml:space="preserve">   Noix de cajou, fraîches ou sèches, en coques</v>
      </c>
      <c r="C740">
        <v>6456200</v>
      </c>
      <c r="D740">
        <v>32281</v>
      </c>
    </row>
    <row r="741" spans="1:4" x14ac:dyDescent="0.25">
      <c r="A741" t="str">
        <f>T("MG")</f>
        <v>MG</v>
      </c>
      <c r="B741" t="str">
        <f>T("Madagascar")</f>
        <v>Madagascar</v>
      </c>
    </row>
    <row r="742" spans="1:4" x14ac:dyDescent="0.25">
      <c r="A742" t="str">
        <f>T("   ZZ_Total_Produit_SH6")</f>
        <v xml:space="preserve">   ZZ_Total_Produit_SH6</v>
      </c>
      <c r="B742" t="str">
        <f>T("   ZZ_Total_Produit_SH6")</f>
        <v xml:space="preserve">   ZZ_Total_Produit_SH6</v>
      </c>
      <c r="C742">
        <v>2500000</v>
      </c>
      <c r="D742">
        <v>12000</v>
      </c>
    </row>
    <row r="743" spans="1:4" x14ac:dyDescent="0.25">
      <c r="A743" t="str">
        <f>T("   620590")</f>
        <v xml:space="preserve">   620590</v>
      </c>
      <c r="B74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43">
        <v>500000</v>
      </c>
      <c r="D743">
        <v>300</v>
      </c>
    </row>
    <row r="744" spans="1:4" x14ac:dyDescent="0.25">
      <c r="A744" t="str">
        <f>T("   732394")</f>
        <v xml:space="preserve">   732394</v>
      </c>
      <c r="B744" t="s">
        <v>67</v>
      </c>
      <c r="C744">
        <v>300000</v>
      </c>
      <c r="D744">
        <v>200</v>
      </c>
    </row>
    <row r="745" spans="1:4" x14ac:dyDescent="0.25">
      <c r="A745" t="str">
        <f>T("   940350")</f>
        <v xml:space="preserve">   940350</v>
      </c>
      <c r="B745" t="str">
        <f>T("   Meubles pour chambres à coucher, en bois (sauf sièges)")</f>
        <v xml:space="preserve">   Meubles pour chambres à coucher, en bois (sauf sièges)</v>
      </c>
      <c r="C745">
        <v>1200000</v>
      </c>
      <c r="D745">
        <v>1500</v>
      </c>
    </row>
    <row r="746" spans="1:4" x14ac:dyDescent="0.25">
      <c r="A746" t="str">
        <f>T("   940389")</f>
        <v xml:space="preserve">   940389</v>
      </c>
      <c r="B746"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746">
        <v>500000</v>
      </c>
      <c r="D746">
        <v>10000</v>
      </c>
    </row>
    <row r="747" spans="1:4" x14ac:dyDescent="0.25">
      <c r="A747" t="str">
        <f>T("ML")</f>
        <v>ML</v>
      </c>
      <c r="B747" t="str">
        <f>T("Mali")</f>
        <v>Mali</v>
      </c>
    </row>
    <row r="748" spans="1:4" x14ac:dyDescent="0.25">
      <c r="A748" t="str">
        <f>T("   ZZ_Total_Produit_SH6")</f>
        <v xml:space="preserve">   ZZ_Total_Produit_SH6</v>
      </c>
      <c r="B748" t="str">
        <f>T("   ZZ_Total_Produit_SH6")</f>
        <v xml:space="preserve">   ZZ_Total_Produit_SH6</v>
      </c>
      <c r="C748">
        <v>556081027</v>
      </c>
      <c r="D748">
        <v>1048307.5</v>
      </c>
    </row>
    <row r="749" spans="1:4" x14ac:dyDescent="0.25">
      <c r="A749" t="str">
        <f>T("   200941")</f>
        <v xml:space="preserve">   200941</v>
      </c>
      <c r="B749" t="str">
        <f>T("   JUS D'ANANAS, NON-FERMENTÉS, SANS ADDITION D'ALCOOL, AVEC OU SANS ADDITION DE SUCRE OU D'AUTRES ÉDULCORANTS, D'UNE VALEUR BRIX &lt;= 20 À 20°C")</f>
        <v xml:space="preserve">   JUS D'ANANAS, NON-FERMENTÉS, SANS ADDITION D'ALCOOL, AVEC OU SANS ADDITION DE SUCRE OU D'AUTRES ÉDULCORANTS, D'UNE VALEUR BRIX &lt;= 20 À 20°C</v>
      </c>
      <c r="C749">
        <v>52325500</v>
      </c>
      <c r="D749">
        <v>237650</v>
      </c>
    </row>
    <row r="750" spans="1:4" x14ac:dyDescent="0.25">
      <c r="A750" t="str">
        <f>T("   481910")</f>
        <v xml:space="preserve">   481910</v>
      </c>
      <c r="B750" t="str">
        <f>T("   Boîtes et caisses en papier ou en carton ondulé")</f>
        <v xml:space="preserve">   Boîtes et caisses en papier ou en carton ondulé</v>
      </c>
      <c r="C750">
        <v>9154448</v>
      </c>
      <c r="D750">
        <v>23920</v>
      </c>
    </row>
    <row r="751" spans="1:4" x14ac:dyDescent="0.25">
      <c r="A751" t="str">
        <f>T("   520819")</f>
        <v xml:space="preserve">   520819</v>
      </c>
      <c r="B751" t="str">
        <f>T("   Tissus de coton, écrus, contenant &gt;= 85% en poids de coton, d'un poids &lt;= 200 g/m² (à l'excl. des tissus à armure toile ou à armure sergé [y.c. le croisé] d'un rapport d'armure &lt;= 4)")</f>
        <v xml:space="preserve">   Tissus de coton, écrus, contenant &gt;= 85% en poids de coton, d'un poids &lt;= 200 g/m² (à l'excl. des tissus à armure toile ou à armure sergé [y.c. le croisé] d'un rapport d'armure &lt;= 4)</v>
      </c>
      <c r="C751">
        <v>13000000</v>
      </c>
      <c r="D751">
        <v>24200</v>
      </c>
    </row>
    <row r="752" spans="1:4" x14ac:dyDescent="0.25">
      <c r="A752" t="str">
        <f>T("   630900")</f>
        <v xml:space="preserve">   630900</v>
      </c>
      <c r="B752" t="s">
        <v>56</v>
      </c>
      <c r="C752">
        <v>16000000</v>
      </c>
      <c r="D752">
        <v>53733</v>
      </c>
    </row>
    <row r="753" spans="1:4" x14ac:dyDescent="0.25">
      <c r="A753" t="str">
        <f>T("   660110")</f>
        <v xml:space="preserve">   660110</v>
      </c>
      <c r="B753" t="str">
        <f>T("   Parasols de jardin et articles simil. (sauf tentes de plage)")</f>
        <v xml:space="preserve">   Parasols de jardin et articles simil. (sauf tentes de plage)</v>
      </c>
      <c r="C753">
        <v>21600000</v>
      </c>
      <c r="D753">
        <v>2600</v>
      </c>
    </row>
    <row r="754" spans="1:4" x14ac:dyDescent="0.25">
      <c r="A754" t="str">
        <f>T("   720917")</f>
        <v xml:space="preserve">   720917</v>
      </c>
      <c r="B754"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754">
        <v>29846280</v>
      </c>
      <c r="D754">
        <v>84000</v>
      </c>
    </row>
    <row r="755" spans="1:4" x14ac:dyDescent="0.25">
      <c r="A755" t="str">
        <f>T("   721049")</f>
        <v xml:space="preserve">   721049</v>
      </c>
      <c r="B755"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755">
        <v>244729316</v>
      </c>
      <c r="D755">
        <v>460374</v>
      </c>
    </row>
    <row r="756" spans="1:4" x14ac:dyDescent="0.25">
      <c r="A756" t="str">
        <f>T("   731021")</f>
        <v xml:space="preserve">   731021</v>
      </c>
      <c r="B756"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756">
        <v>36389057</v>
      </c>
      <c r="D756">
        <v>103914.5</v>
      </c>
    </row>
    <row r="757" spans="1:4" x14ac:dyDescent="0.25">
      <c r="A757" t="str">
        <f>T("   760611")</f>
        <v xml:space="preserve">   760611</v>
      </c>
      <c r="B757"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757">
        <v>52286426</v>
      </c>
      <c r="D757">
        <v>32916</v>
      </c>
    </row>
    <row r="758" spans="1:4" x14ac:dyDescent="0.25">
      <c r="A758" t="str">
        <f>T("   846299")</f>
        <v xml:space="preserve">   846299</v>
      </c>
      <c r="B758" t="str">
        <f>T("   Presses autres qu'hydrauliques pour le travail des métaux (à l'excl. des presses à forger, à rouler, à cintrer, dresser ou planer)")</f>
        <v xml:space="preserve">   Presses autres qu'hydrauliques pour le travail des métaux (à l'excl. des presses à forger, à rouler, à cintrer, dresser ou planer)</v>
      </c>
      <c r="C758">
        <v>80000000</v>
      </c>
      <c r="D758">
        <v>10000</v>
      </c>
    </row>
    <row r="759" spans="1:4" x14ac:dyDescent="0.25">
      <c r="A759" t="str">
        <f>T("   940389")</f>
        <v xml:space="preserve">   940389</v>
      </c>
      <c r="B759"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759">
        <v>750000</v>
      </c>
      <c r="D759">
        <v>15000</v>
      </c>
    </row>
    <row r="760" spans="1:4" x14ac:dyDescent="0.25">
      <c r="A760" t="str">
        <f>T("MM")</f>
        <v>MM</v>
      </c>
      <c r="B760" t="str">
        <f>T("Myanmar")</f>
        <v>Myanmar</v>
      </c>
    </row>
    <row r="761" spans="1:4" x14ac:dyDescent="0.25">
      <c r="A761" t="str">
        <f>T("   ZZ_Total_Produit_SH6")</f>
        <v xml:space="preserve">   ZZ_Total_Produit_SH6</v>
      </c>
      <c r="B761" t="str">
        <f>T("   ZZ_Total_Produit_SH6")</f>
        <v xml:space="preserve">   ZZ_Total_Produit_SH6</v>
      </c>
      <c r="C761">
        <v>9839355</v>
      </c>
      <c r="D761">
        <v>170</v>
      </c>
    </row>
    <row r="762" spans="1:4" x14ac:dyDescent="0.25">
      <c r="A762" t="str">
        <f>T("   121230")</f>
        <v xml:space="preserve">   121230</v>
      </c>
      <c r="B762" t="str">
        <f>T("   Noyaux et amandes d'abricots, de pêches [y.c. des brugnons et nectarines] ou de prunes")</f>
        <v xml:space="preserve">   Noyaux et amandes d'abricots, de pêches [y.c. des brugnons et nectarines] ou de prunes</v>
      </c>
      <c r="C762">
        <v>9839355</v>
      </c>
      <c r="D762">
        <v>170</v>
      </c>
    </row>
    <row r="763" spans="1:4" x14ac:dyDescent="0.25">
      <c r="A763" t="str">
        <f>T("MR")</f>
        <v>MR</v>
      </c>
      <c r="B763" t="str">
        <f>T("Mauritanie")</f>
        <v>Mauritanie</v>
      </c>
    </row>
    <row r="764" spans="1:4" x14ac:dyDescent="0.25">
      <c r="A764" t="str">
        <f>T("   ZZ_Total_Produit_SH6")</f>
        <v xml:space="preserve">   ZZ_Total_Produit_SH6</v>
      </c>
      <c r="B764" t="str">
        <f>T("   ZZ_Total_Produit_SH6")</f>
        <v xml:space="preserve">   ZZ_Total_Produit_SH6</v>
      </c>
      <c r="C764">
        <v>54798964</v>
      </c>
      <c r="D764">
        <v>340980</v>
      </c>
    </row>
    <row r="765" spans="1:4" x14ac:dyDescent="0.25">
      <c r="A765" t="str">
        <f>T("   230610")</f>
        <v xml:space="preserve">   230610</v>
      </c>
      <c r="B765"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765">
        <v>54798964</v>
      </c>
      <c r="D765">
        <v>340980</v>
      </c>
    </row>
    <row r="766" spans="1:4" x14ac:dyDescent="0.25">
      <c r="A766" t="str">
        <f>T("MU")</f>
        <v>MU</v>
      </c>
      <c r="B766" t="str">
        <f>T("Maurice, île")</f>
        <v>Maurice, île</v>
      </c>
    </row>
    <row r="767" spans="1:4" x14ac:dyDescent="0.25">
      <c r="A767" t="str">
        <f>T("   ZZ_Total_Produit_SH6")</f>
        <v xml:space="preserve">   ZZ_Total_Produit_SH6</v>
      </c>
      <c r="B767" t="str">
        <f>T("   ZZ_Total_Produit_SH6")</f>
        <v xml:space="preserve">   ZZ_Total_Produit_SH6</v>
      </c>
      <c r="C767">
        <v>38338700</v>
      </c>
      <c r="D767">
        <v>48530</v>
      </c>
    </row>
    <row r="768" spans="1:4" x14ac:dyDescent="0.25">
      <c r="A768" t="str">
        <f>T("   520100")</f>
        <v xml:space="preserve">   520100</v>
      </c>
      <c r="B768" t="str">
        <f>T("   COTON, NON-CARDÉ NI PEIGNÉ")</f>
        <v xml:space="preserve">   COTON, NON-CARDÉ NI PEIGNÉ</v>
      </c>
      <c r="C768">
        <v>38338700</v>
      </c>
      <c r="D768">
        <v>48530</v>
      </c>
    </row>
    <row r="769" spans="1:4" x14ac:dyDescent="0.25">
      <c r="A769" t="str">
        <f>T("MX")</f>
        <v>MX</v>
      </c>
      <c r="B769" t="str">
        <f>T("Mexique")</f>
        <v>Mexique</v>
      </c>
    </row>
    <row r="770" spans="1:4" x14ac:dyDescent="0.25">
      <c r="A770" t="str">
        <f>T("   ZZ_Total_Produit_SH6")</f>
        <v xml:space="preserve">   ZZ_Total_Produit_SH6</v>
      </c>
      <c r="B770" t="str">
        <f>T("   ZZ_Total_Produit_SH6")</f>
        <v xml:space="preserve">   ZZ_Total_Produit_SH6</v>
      </c>
      <c r="C770">
        <v>2655960</v>
      </c>
      <c r="D770">
        <v>657</v>
      </c>
    </row>
    <row r="771" spans="1:4" x14ac:dyDescent="0.25">
      <c r="A771" t="str">
        <f>T("   853650")</f>
        <v xml:space="preserve">   853650</v>
      </c>
      <c r="B771" t="str">
        <f>T("   Interrupteurs, sectionneurs et commutateurs, pour une tension &lt;= 1.000 V (autres que relais et disjoncteurs)")</f>
        <v xml:space="preserve">   Interrupteurs, sectionneurs et commutateurs, pour une tension &lt;= 1.000 V (autres que relais et disjoncteurs)</v>
      </c>
      <c r="C771">
        <v>655960</v>
      </c>
      <c r="D771">
        <v>28</v>
      </c>
    </row>
    <row r="772" spans="1:4" x14ac:dyDescent="0.25">
      <c r="A772" t="str">
        <f>T("   940350")</f>
        <v xml:space="preserve">   940350</v>
      </c>
      <c r="B772" t="str">
        <f>T("   Meubles pour chambres à coucher, en bois (sauf sièges)")</f>
        <v xml:space="preserve">   Meubles pour chambres à coucher, en bois (sauf sièges)</v>
      </c>
      <c r="C772">
        <v>2000000</v>
      </c>
      <c r="D772">
        <v>629</v>
      </c>
    </row>
    <row r="773" spans="1:4" x14ac:dyDescent="0.25">
      <c r="A773" t="str">
        <f>T("MY")</f>
        <v>MY</v>
      </c>
      <c r="B773" t="str">
        <f>T("Malaisie")</f>
        <v>Malaisie</v>
      </c>
    </row>
    <row r="774" spans="1:4" x14ac:dyDescent="0.25">
      <c r="A774" t="str">
        <f>T("   ZZ_Total_Produit_SH6")</f>
        <v xml:space="preserve">   ZZ_Total_Produit_SH6</v>
      </c>
      <c r="B774" t="str">
        <f>T("   ZZ_Total_Produit_SH6")</f>
        <v xml:space="preserve">   ZZ_Total_Produit_SH6</v>
      </c>
      <c r="C774">
        <v>10144502407</v>
      </c>
      <c r="D774">
        <v>13036254</v>
      </c>
    </row>
    <row r="775" spans="1:4" x14ac:dyDescent="0.25">
      <c r="A775" t="str">
        <f>T("   040510")</f>
        <v xml:space="preserve">   040510</v>
      </c>
      <c r="B775" t="str">
        <f>T("   Beurre (sauf beurre déshydraté et ghee)")</f>
        <v xml:space="preserve">   Beurre (sauf beurre déshydraté et ghee)</v>
      </c>
      <c r="C775">
        <v>1921850536</v>
      </c>
      <c r="D775">
        <v>3232480</v>
      </c>
    </row>
    <row r="776" spans="1:4" x14ac:dyDescent="0.25">
      <c r="A776" t="str">
        <f>T("   120799")</f>
        <v xml:space="preserve">   120799</v>
      </c>
      <c r="B776" t="s">
        <v>16</v>
      </c>
      <c r="C776">
        <v>90249149</v>
      </c>
      <c r="D776">
        <v>455686</v>
      </c>
    </row>
    <row r="777" spans="1:4" x14ac:dyDescent="0.25">
      <c r="A777" t="str">
        <f>T("   392390")</f>
        <v xml:space="preserve">   392390</v>
      </c>
      <c r="B777" t="s">
        <v>40</v>
      </c>
      <c r="C777">
        <v>36587231</v>
      </c>
      <c r="D777">
        <v>13149</v>
      </c>
    </row>
    <row r="778" spans="1:4" x14ac:dyDescent="0.25">
      <c r="A778" t="str">
        <f>T("   440690")</f>
        <v xml:space="preserve">   440690</v>
      </c>
      <c r="B778" t="str">
        <f>T("   Traverses en bois, pour voies ferrées ou simil., imprégnées")</f>
        <v xml:space="preserve">   Traverses en bois, pour voies ferrées ou simil., imprégnées</v>
      </c>
      <c r="C778">
        <v>1000000</v>
      </c>
      <c r="D778">
        <v>20000</v>
      </c>
    </row>
    <row r="779" spans="1:4" x14ac:dyDescent="0.25">
      <c r="A779" t="str">
        <f>T("   520100")</f>
        <v xml:space="preserve">   520100</v>
      </c>
      <c r="B779" t="str">
        <f>T("   COTON, NON-CARDÉ NI PEIGNÉ")</f>
        <v xml:space="preserve">   COTON, NON-CARDÉ NI PEIGNÉ</v>
      </c>
      <c r="C779">
        <v>8084315491</v>
      </c>
      <c r="D779">
        <v>9104939</v>
      </c>
    </row>
    <row r="780" spans="1:4" x14ac:dyDescent="0.25">
      <c r="A780" t="str">
        <f>T("   720429")</f>
        <v xml:space="preserve">   720429</v>
      </c>
      <c r="B780"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780">
        <v>1000000</v>
      </c>
      <c r="D780">
        <v>20000</v>
      </c>
    </row>
    <row r="781" spans="1:4" x14ac:dyDescent="0.25">
      <c r="A781" t="str">
        <f>T("   720430")</f>
        <v xml:space="preserve">   720430</v>
      </c>
      <c r="B781"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781">
        <v>8500000</v>
      </c>
      <c r="D781">
        <v>170000</v>
      </c>
    </row>
    <row r="782" spans="1:4" x14ac:dyDescent="0.25">
      <c r="A782" t="str">
        <f>T("   720449")</f>
        <v xml:space="preserve">   720449</v>
      </c>
      <c r="B782" t="s">
        <v>64</v>
      </c>
      <c r="C782">
        <v>1000000</v>
      </c>
      <c r="D782">
        <v>20000</v>
      </c>
    </row>
    <row r="783" spans="1:4" x14ac:dyDescent="0.25">
      <c r="A783" t="str">
        <f>T("NE")</f>
        <v>NE</v>
      </c>
      <c r="B783" t="str">
        <f>T("Niger")</f>
        <v>Niger</v>
      </c>
    </row>
    <row r="784" spans="1:4" x14ac:dyDescent="0.25">
      <c r="A784" t="str">
        <f>T("   ZZ_Total_Produit_SH6")</f>
        <v xml:space="preserve">   ZZ_Total_Produit_SH6</v>
      </c>
      <c r="B784" t="str">
        <f>T("   ZZ_Total_Produit_SH6")</f>
        <v xml:space="preserve">   ZZ_Total_Produit_SH6</v>
      </c>
      <c r="C784">
        <v>14784497303</v>
      </c>
      <c r="D784">
        <v>88029734.099999994</v>
      </c>
    </row>
    <row r="785" spans="1:4" x14ac:dyDescent="0.25">
      <c r="A785" t="str">
        <f>T("   100110")</f>
        <v xml:space="preserve">   100110</v>
      </c>
      <c r="B785" t="str">
        <f>T("   Froment [blé] dur")</f>
        <v xml:space="preserve">   Froment [blé] dur</v>
      </c>
      <c r="C785">
        <v>439617508</v>
      </c>
      <c r="D785">
        <v>2085600</v>
      </c>
    </row>
    <row r="786" spans="1:4" x14ac:dyDescent="0.25">
      <c r="A786" t="str">
        <f>T("   100190")</f>
        <v xml:space="preserve">   100190</v>
      </c>
      <c r="B786" t="str">
        <f>T("   Froment [blé] et méteil (à l'excl. du froment [blé] dur)")</f>
        <v xml:space="preserve">   Froment [blé] et méteil (à l'excl. du froment [blé] dur)</v>
      </c>
      <c r="C786">
        <v>176643211</v>
      </c>
      <c r="D786">
        <v>788540</v>
      </c>
    </row>
    <row r="787" spans="1:4" x14ac:dyDescent="0.25">
      <c r="A787" t="str">
        <f>T("   100590")</f>
        <v xml:space="preserve">   100590</v>
      </c>
      <c r="B787" t="str">
        <f>T("   Maïs (autre que de semence)")</f>
        <v xml:space="preserve">   Maïs (autre que de semence)</v>
      </c>
      <c r="C787">
        <v>1221419225</v>
      </c>
      <c r="D787">
        <v>6031750</v>
      </c>
    </row>
    <row r="788" spans="1:4" x14ac:dyDescent="0.25">
      <c r="A788" t="str">
        <f>T("   100630")</f>
        <v xml:space="preserve">   100630</v>
      </c>
      <c r="B788" t="str">
        <f>T("   Riz semi-blanchi ou blanchi, même poli ou glacé")</f>
        <v xml:space="preserve">   Riz semi-blanchi ou blanchi, même poli ou glacé</v>
      </c>
      <c r="C788">
        <v>25000000</v>
      </c>
      <c r="D788">
        <v>500000</v>
      </c>
    </row>
    <row r="789" spans="1:4" x14ac:dyDescent="0.25">
      <c r="A789" t="str">
        <f>T("   100640")</f>
        <v xml:space="preserve">   100640</v>
      </c>
      <c r="B789" t="str">
        <f>T("   Riz en brisures")</f>
        <v xml:space="preserve">   Riz en brisures</v>
      </c>
      <c r="C789">
        <v>211501445</v>
      </c>
      <c r="D789">
        <v>4230000</v>
      </c>
    </row>
    <row r="790" spans="1:4" x14ac:dyDescent="0.25">
      <c r="A790" t="str">
        <f>T("   110100")</f>
        <v xml:space="preserve">   110100</v>
      </c>
      <c r="B790" t="str">
        <f>T("   Farines de froment [blé] ou de méteil")</f>
        <v xml:space="preserve">   Farines de froment [blé] ou de méteil</v>
      </c>
      <c r="C790">
        <v>230112678</v>
      </c>
      <c r="D790">
        <v>1198800</v>
      </c>
    </row>
    <row r="791" spans="1:4" x14ac:dyDescent="0.25">
      <c r="A791" t="str">
        <f>T("   110311")</f>
        <v xml:space="preserve">   110311</v>
      </c>
      <c r="B791" t="str">
        <f>T("   Gruaux et semoules de froment [blé]")</f>
        <v xml:space="preserve">   Gruaux et semoules de froment [blé]</v>
      </c>
      <c r="C791">
        <v>193963262</v>
      </c>
      <c r="D791">
        <v>423449</v>
      </c>
    </row>
    <row r="792" spans="1:4" x14ac:dyDescent="0.25">
      <c r="A792" t="str">
        <f>T("   110423")</f>
        <v xml:space="preserve">   110423</v>
      </c>
      <c r="B792" t="str">
        <f>T("   Grains de maïs, mondés, perlés, tranchés, concassés ou autrement travaillés (à l'excl. de la farine de maïs)")</f>
        <v xml:space="preserve">   Grains de maïs, mondés, perlés, tranchés, concassés ou autrement travaillés (à l'excl. de la farine de maïs)</v>
      </c>
      <c r="C792">
        <v>96020000</v>
      </c>
      <c r="D792">
        <v>280000</v>
      </c>
    </row>
    <row r="793" spans="1:4" x14ac:dyDescent="0.25">
      <c r="A793" t="str">
        <f>T("   151190")</f>
        <v xml:space="preserve">   151190</v>
      </c>
      <c r="B793" t="str">
        <f>T("   Huile de palme et ses fractions, même raffinées, mais non chimiquement modifiées (à l'excl. de l'huile de palme brute)")</f>
        <v xml:space="preserve">   Huile de palme et ses fractions, même raffinées, mais non chimiquement modifiées (à l'excl. de l'huile de palme brute)</v>
      </c>
      <c r="C793">
        <v>822629250</v>
      </c>
      <c r="D793">
        <v>3290577</v>
      </c>
    </row>
    <row r="794" spans="1:4" x14ac:dyDescent="0.25">
      <c r="A794" t="str">
        <f>T("   170111")</f>
        <v xml:space="preserve">   170111</v>
      </c>
      <c r="B794" t="str">
        <f>T("   Sucres de canne, bruts, sans addition d'aromatisants ou de colorants")</f>
        <v xml:space="preserve">   Sucres de canne, bruts, sans addition d'aromatisants ou de colorants</v>
      </c>
      <c r="C794">
        <v>1474600000</v>
      </c>
      <c r="D794">
        <v>4840000</v>
      </c>
    </row>
    <row r="795" spans="1:4" x14ac:dyDescent="0.25">
      <c r="A795" t="str">
        <f>T("   190230")</f>
        <v xml:space="preserve">   190230</v>
      </c>
      <c r="B795" t="str">
        <f>T("   Pâtes alimentaires, cuites ou autrement préparées (à l'excl. des pâtes alimentaires farcies)")</f>
        <v xml:space="preserve">   Pâtes alimentaires, cuites ou autrement préparées (à l'excl. des pâtes alimentaires farcies)</v>
      </c>
      <c r="C795">
        <v>208000000</v>
      </c>
      <c r="D795">
        <v>1160000</v>
      </c>
    </row>
    <row r="796" spans="1:4" x14ac:dyDescent="0.25">
      <c r="A796" t="str">
        <f>T("   200941")</f>
        <v xml:space="preserve">   200941</v>
      </c>
      <c r="B796" t="str">
        <f>T("   JUS D'ANANAS, NON-FERMENTÉS, SANS ADDITION D'ALCOOL, AVEC OU SANS ADDITION DE SUCRE OU D'AUTRES ÉDULCORANTS, D'UNE VALEUR BRIX &lt;= 20 À 20°C")</f>
        <v xml:space="preserve">   JUS D'ANANAS, NON-FERMENTÉS, SANS ADDITION D'ALCOOL, AVEC OU SANS ADDITION DE SUCRE OU D'AUTRES ÉDULCORANTS, D'UNE VALEUR BRIX &lt;= 20 À 20°C</v>
      </c>
      <c r="C796">
        <v>15501000</v>
      </c>
      <c r="D796">
        <v>62850</v>
      </c>
    </row>
    <row r="797" spans="1:4" x14ac:dyDescent="0.25">
      <c r="A797" t="str">
        <f>T("   200949")</f>
        <v xml:space="preserve">   200949</v>
      </c>
      <c r="B797"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797">
        <v>12525000</v>
      </c>
      <c r="D797">
        <v>102200</v>
      </c>
    </row>
    <row r="798" spans="1:4" x14ac:dyDescent="0.25">
      <c r="A798" t="str">
        <f>T("   220110")</f>
        <v xml:space="preserve">   220110</v>
      </c>
      <c r="B798" t="str">
        <f>T("   Eaux minérales et eaux gazéifiées, non additionnées de sucre ou d'autres édulcorants ni aromatisées")</f>
        <v xml:space="preserve">   Eaux minérales et eaux gazéifiées, non additionnées de sucre ou d'autres édulcorants ni aromatisées</v>
      </c>
      <c r="C798">
        <v>6865746</v>
      </c>
      <c r="D798">
        <v>67100</v>
      </c>
    </row>
    <row r="799" spans="1:4" x14ac:dyDescent="0.25">
      <c r="A799" t="str">
        <f>T("   230230")</f>
        <v xml:space="preserve">   230230</v>
      </c>
      <c r="B799" t="str">
        <f>T("   Sons, remoulages et autres résidus, même agglomérés sous forme de pellets, du criblage, de la mouture ou d'autres traitements du froment")</f>
        <v xml:space="preserve">   Sons, remoulages et autres résidus, même agglomérés sous forme de pellets, du criblage, de la mouture ou d'autres traitements du froment</v>
      </c>
      <c r="C799">
        <v>707748041</v>
      </c>
      <c r="D799">
        <v>4951340</v>
      </c>
    </row>
    <row r="800" spans="1:4" x14ac:dyDescent="0.25">
      <c r="A800" t="str">
        <f>T("   252310")</f>
        <v xml:space="preserve">   252310</v>
      </c>
      <c r="B800" t="str">
        <f>T("   Ciments non pulvérisés dits 'clinkers'")</f>
        <v xml:space="preserve">   Ciments non pulvérisés dits 'clinkers'</v>
      </c>
      <c r="C800">
        <v>1080000000</v>
      </c>
      <c r="D800">
        <v>15000000</v>
      </c>
    </row>
    <row r="801" spans="1:4" x14ac:dyDescent="0.25">
      <c r="A801" t="str">
        <f>T("   252329")</f>
        <v xml:space="preserve">   252329</v>
      </c>
      <c r="B801" t="str">
        <f>T("   Ciment Portland normal ou modéré (à l'excl. des ciments Portland blancs, même colorés artificiellement)")</f>
        <v xml:space="preserve">   Ciment Portland normal ou modéré (à l'excl. des ciments Portland blancs, même colorés artificiellement)</v>
      </c>
      <c r="C801">
        <v>1525383260</v>
      </c>
      <c r="D801">
        <v>21844000</v>
      </c>
    </row>
    <row r="802" spans="1:4" x14ac:dyDescent="0.25">
      <c r="A802" t="str">
        <f>T("   300490")</f>
        <v xml:space="preserve">   300490</v>
      </c>
      <c r="B802" t="s">
        <v>29</v>
      </c>
      <c r="C802">
        <v>4963750</v>
      </c>
      <c r="D802">
        <v>133</v>
      </c>
    </row>
    <row r="803" spans="1:4" x14ac:dyDescent="0.25">
      <c r="A803" t="str">
        <f>T("   300590")</f>
        <v xml:space="preserve">   300590</v>
      </c>
      <c r="B803" t="s">
        <v>30</v>
      </c>
      <c r="C803">
        <v>9870000</v>
      </c>
      <c r="D803">
        <v>5400</v>
      </c>
    </row>
    <row r="804" spans="1:4" x14ac:dyDescent="0.25">
      <c r="A804" t="str">
        <f>T("   390120")</f>
        <v xml:space="preserve">   390120</v>
      </c>
      <c r="B804" t="str">
        <f>T("   Polyéthylène d'une densité &gt;= 0,94, sous formes primaires")</f>
        <v xml:space="preserve">   Polyéthylène d'une densité &gt;= 0,94, sous formes primaires</v>
      </c>
      <c r="C804">
        <v>8376649</v>
      </c>
      <c r="D804">
        <v>17581</v>
      </c>
    </row>
    <row r="805" spans="1:4" x14ac:dyDescent="0.25">
      <c r="A805" t="str">
        <f>T("   390799")</f>
        <v xml:space="preserve">   390799</v>
      </c>
      <c r="B805"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805">
        <v>29481456</v>
      </c>
      <c r="D805">
        <v>33253</v>
      </c>
    </row>
    <row r="806" spans="1:4" x14ac:dyDescent="0.25">
      <c r="A806" t="str">
        <f>T("   391721")</f>
        <v xml:space="preserve">   391721</v>
      </c>
      <c r="B806" t="str">
        <f>T("   TUBES ET TUYAUX RIGIDES, EN POLYMÈRES DE L'ÉTHYLÈNE")</f>
        <v xml:space="preserve">   TUBES ET TUYAUX RIGIDES, EN POLYMÈRES DE L'ÉTHYLÈNE</v>
      </c>
      <c r="C806">
        <v>22125000</v>
      </c>
      <c r="D806">
        <v>43424</v>
      </c>
    </row>
    <row r="807" spans="1:4" x14ac:dyDescent="0.25">
      <c r="A807" t="str">
        <f>T("   392020")</f>
        <v xml:space="preserve">   392020</v>
      </c>
      <c r="B807" t="s">
        <v>39</v>
      </c>
      <c r="C807">
        <v>27542823</v>
      </c>
      <c r="D807">
        <v>14436</v>
      </c>
    </row>
    <row r="808" spans="1:4" x14ac:dyDescent="0.25">
      <c r="A808" t="str">
        <f>T("   392330")</f>
        <v xml:space="preserve">   392330</v>
      </c>
      <c r="B808" t="str">
        <f>T("   Bonbonnes, bouteilles, flacons et articles simil. pour le transport ou l'emballage, en matières plastiques")</f>
        <v xml:space="preserve">   Bonbonnes, bouteilles, flacons et articles simil. pour le transport ou l'emballage, en matières plastiques</v>
      </c>
      <c r="C808">
        <v>50265600</v>
      </c>
      <c r="D808">
        <v>33510</v>
      </c>
    </row>
    <row r="809" spans="1:4" x14ac:dyDescent="0.25">
      <c r="A809" t="str">
        <f>T("   440799")</f>
        <v xml:space="preserve">   440799</v>
      </c>
      <c r="B809" t="s">
        <v>48</v>
      </c>
      <c r="C809">
        <v>1515000</v>
      </c>
      <c r="D809">
        <v>20000</v>
      </c>
    </row>
    <row r="810" spans="1:4" x14ac:dyDescent="0.25">
      <c r="A810" t="str">
        <f>T("   481910")</f>
        <v xml:space="preserve">   481910</v>
      </c>
      <c r="B810" t="str">
        <f>T("   Boîtes et caisses en papier ou en carton ondulé")</f>
        <v xml:space="preserve">   Boîtes et caisses en papier ou en carton ondulé</v>
      </c>
      <c r="C810">
        <v>4134276</v>
      </c>
      <c r="D810">
        <v>7742</v>
      </c>
    </row>
    <row r="811" spans="1:4" x14ac:dyDescent="0.25">
      <c r="A811" t="str">
        <f>T("   481960")</f>
        <v xml:space="preserve">   481960</v>
      </c>
      <c r="B811" t="str">
        <f>T("   Cartonnages de bureau, de magasin ou simil., rigides (à l'excl. des emballages)")</f>
        <v xml:space="preserve">   Cartonnages de bureau, de magasin ou simil., rigides (à l'excl. des emballages)</v>
      </c>
      <c r="C811">
        <v>22919238</v>
      </c>
      <c r="D811">
        <v>31889</v>
      </c>
    </row>
    <row r="812" spans="1:4" x14ac:dyDescent="0.25">
      <c r="A812" t="str">
        <f>T("   520812")</f>
        <v xml:space="preserve">   520812</v>
      </c>
      <c r="B812" t="str">
        <f>T("   Tissus de coton, écrus, à armure toile, contenant &gt;= 85% en poids de coton, d'un poids &gt; 100 g/m² mais &lt;= 200 g/m²")</f>
        <v xml:space="preserve">   Tissus de coton, écrus, à armure toile, contenant &gt;= 85% en poids de coton, d'un poids &gt; 100 g/m² mais &lt;= 200 g/m²</v>
      </c>
      <c r="C812">
        <v>25200000</v>
      </c>
      <c r="D812">
        <v>14520</v>
      </c>
    </row>
    <row r="813" spans="1:4" x14ac:dyDescent="0.25">
      <c r="A813" t="str">
        <f>T("   520819")</f>
        <v xml:space="preserve">   520819</v>
      </c>
      <c r="B813" t="str">
        <f>T("   Tissus de coton, écrus, contenant &gt;= 85% en poids de coton, d'un poids &lt;= 200 g/m² (à l'excl. des tissus à armure toile ou à armure sergé [y.c. le croisé] d'un rapport d'armure &lt;= 4)")</f>
        <v xml:space="preserve">   Tissus de coton, écrus, contenant &gt;= 85% en poids de coton, d'un poids &lt;= 200 g/m² (à l'excl. des tissus à armure toile ou à armure sergé [y.c. le croisé] d'un rapport d'armure &lt;= 4)</v>
      </c>
      <c r="C813">
        <v>42000000</v>
      </c>
      <c r="D813">
        <v>24200</v>
      </c>
    </row>
    <row r="814" spans="1:4" x14ac:dyDescent="0.25">
      <c r="A814" t="str">
        <f>T("   520852")</f>
        <v xml:space="preserve">   520852</v>
      </c>
      <c r="B814" t="str">
        <f>T("   Tissus de coton, imprimés, à armure toile, contenant &gt;= 85% en poids de coton, d'un poids &gt; 100 g/m² mais &lt;= 200 g/m²")</f>
        <v xml:space="preserve">   Tissus de coton, imprimés, à armure toile, contenant &gt;= 85% en poids de coton, d'un poids &gt; 100 g/m² mais &lt;= 200 g/m²</v>
      </c>
      <c r="C814">
        <v>21500000</v>
      </c>
      <c r="D814">
        <v>16450</v>
      </c>
    </row>
    <row r="815" spans="1:4" x14ac:dyDescent="0.25">
      <c r="A815" t="str">
        <f>T("   580310")</f>
        <v xml:space="preserve">   580310</v>
      </c>
      <c r="B815" t="str">
        <f>T("   Tissus à point de gaze, de coton (à l'excl. des articles de rubanerie du n° 5806)")</f>
        <v xml:space="preserve">   Tissus à point de gaze, de coton (à l'excl. des articles de rubanerie du n° 5806)</v>
      </c>
      <c r="C815">
        <v>1220200</v>
      </c>
      <c r="D815">
        <v>220</v>
      </c>
    </row>
    <row r="816" spans="1:4" x14ac:dyDescent="0.25">
      <c r="A816" t="str">
        <f>T("   620590")</f>
        <v xml:space="preserve">   620590</v>
      </c>
      <c r="B81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16">
        <v>450000</v>
      </c>
      <c r="D816">
        <v>400</v>
      </c>
    </row>
    <row r="817" spans="1:4" x14ac:dyDescent="0.25">
      <c r="A817" t="str">
        <f>T("   630900")</f>
        <v xml:space="preserve">   630900</v>
      </c>
      <c r="B817" t="s">
        <v>56</v>
      </c>
      <c r="C817">
        <v>3150000</v>
      </c>
      <c r="D817">
        <v>585</v>
      </c>
    </row>
    <row r="818" spans="1:4" x14ac:dyDescent="0.25">
      <c r="A818" t="str">
        <f>T("   721391")</f>
        <v xml:space="preserve">   721391</v>
      </c>
      <c r="B818"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818">
        <v>1487542404</v>
      </c>
      <c r="D818">
        <v>4305000</v>
      </c>
    </row>
    <row r="819" spans="1:4" x14ac:dyDescent="0.25">
      <c r="A819" t="str">
        <f>T("   721399")</f>
        <v xml:space="preserve">   721399</v>
      </c>
      <c r="B819" t="s">
        <v>65</v>
      </c>
      <c r="C819">
        <v>879482388</v>
      </c>
      <c r="D819">
        <v>2570000</v>
      </c>
    </row>
    <row r="820" spans="1:4" x14ac:dyDescent="0.25">
      <c r="A820" t="str">
        <f>T("   721420")</f>
        <v xml:space="preserve">   721420</v>
      </c>
      <c r="B820"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820">
        <v>1462462180</v>
      </c>
      <c r="D820">
        <v>4366000</v>
      </c>
    </row>
    <row r="821" spans="1:4" x14ac:dyDescent="0.25">
      <c r="A821" t="str">
        <f>T("   721590")</f>
        <v xml:space="preserve">   721590</v>
      </c>
      <c r="B821"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821">
        <v>2095384901</v>
      </c>
      <c r="D821">
        <v>9334996.0999999996</v>
      </c>
    </row>
    <row r="822" spans="1:4" x14ac:dyDescent="0.25">
      <c r="A822" t="str">
        <f>T("   721790")</f>
        <v xml:space="preserve">   721790</v>
      </c>
      <c r="B822"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822">
        <v>7900000</v>
      </c>
      <c r="D822">
        <v>35000</v>
      </c>
    </row>
    <row r="823" spans="1:4" x14ac:dyDescent="0.25">
      <c r="A823" t="str">
        <f>T("   731021")</f>
        <v xml:space="preserve">   731021</v>
      </c>
      <c r="B823"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823">
        <v>9375383</v>
      </c>
      <c r="D823">
        <v>29782</v>
      </c>
    </row>
    <row r="824" spans="1:4" x14ac:dyDescent="0.25">
      <c r="A824" t="str">
        <f>T("   731700")</f>
        <v xml:space="preserve">   731700</v>
      </c>
      <c r="B824"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824">
        <v>73200000</v>
      </c>
      <c r="D824">
        <v>165000</v>
      </c>
    </row>
    <row r="825" spans="1:4" x14ac:dyDescent="0.25">
      <c r="A825" t="str">
        <f>T("   732394")</f>
        <v xml:space="preserve">   732394</v>
      </c>
      <c r="B825" t="s">
        <v>67</v>
      </c>
      <c r="C825">
        <v>300000</v>
      </c>
      <c r="D825">
        <v>200</v>
      </c>
    </row>
    <row r="826" spans="1:4" x14ac:dyDescent="0.25">
      <c r="A826" t="str">
        <f>T("   760200")</f>
        <v xml:space="preserve">   760200</v>
      </c>
      <c r="B826" t="s">
        <v>70</v>
      </c>
      <c r="C826">
        <v>1500000</v>
      </c>
      <c r="D826">
        <v>30000</v>
      </c>
    </row>
    <row r="827" spans="1:4" x14ac:dyDescent="0.25">
      <c r="A827" t="str">
        <f>T("   760719")</f>
        <v xml:space="preserve">   760719</v>
      </c>
      <c r="B827"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827">
        <v>10200000</v>
      </c>
      <c r="D827">
        <v>670</v>
      </c>
    </row>
    <row r="828" spans="1:4" x14ac:dyDescent="0.25">
      <c r="A828" t="str">
        <f>T("   761090")</f>
        <v xml:space="preserve">   761090</v>
      </c>
      <c r="B828"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828">
        <v>1874566</v>
      </c>
      <c r="D828">
        <v>900</v>
      </c>
    </row>
    <row r="829" spans="1:4" x14ac:dyDescent="0.25">
      <c r="A829" t="str">
        <f>T("   842790")</f>
        <v xml:space="preserve">   842790</v>
      </c>
      <c r="B829" t="str">
        <f>T("   Chariots de manutention munis d'un dispositif de levage mais non autopropulsés")</f>
        <v xml:space="preserve">   Chariots de manutention munis d'un dispositif de levage mais non autopropulsés</v>
      </c>
      <c r="C829">
        <v>1850000</v>
      </c>
      <c r="D829">
        <v>6500</v>
      </c>
    </row>
    <row r="830" spans="1:4" x14ac:dyDescent="0.25">
      <c r="A830" t="str">
        <f>T("   844110")</f>
        <v xml:space="preserve">   844110</v>
      </c>
      <c r="B830" t="str">
        <f>T("   Coupeuses pour le travail de la pâte à papier, du papier ou du carton (sauf machines et appareils pour le brochage ou la reliure)")</f>
        <v xml:space="preserve">   Coupeuses pour le travail de la pâte à papier, du papier ou du carton (sauf machines et appareils pour le brochage ou la reliure)</v>
      </c>
      <c r="C830">
        <v>1120000</v>
      </c>
      <c r="D830">
        <v>8000</v>
      </c>
    </row>
    <row r="831" spans="1:4" x14ac:dyDescent="0.25">
      <c r="A831" t="str">
        <f>T("   844180")</f>
        <v xml:space="preserve">   844180</v>
      </c>
      <c r="B831" t="str">
        <f>T("   Machines et appareils pour le travail de la pâte à papier, du papier ou du carton, n.d.a.")</f>
        <v xml:space="preserve">   Machines et appareils pour le travail de la pâte à papier, du papier ou du carton, n.d.a.</v>
      </c>
      <c r="C831">
        <v>952000</v>
      </c>
      <c r="D831">
        <v>7800</v>
      </c>
    </row>
    <row r="832" spans="1:4" x14ac:dyDescent="0.25">
      <c r="A832" t="str">
        <f>T("   850212")</f>
        <v xml:space="preserve">   850212</v>
      </c>
      <c r="B832"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832">
        <v>350000</v>
      </c>
      <c r="D832">
        <v>2500</v>
      </c>
    </row>
    <row r="833" spans="1:4" x14ac:dyDescent="0.25">
      <c r="A833" t="str">
        <f>T("   850720")</f>
        <v xml:space="preserve">   850720</v>
      </c>
      <c r="B833" t="str">
        <f>T("   Accumulateurs au plomb (sauf hors d'usage et autres que pour le démarrage des moteurs à piston)")</f>
        <v xml:space="preserve">   Accumulateurs au plomb (sauf hors d'usage et autres que pour le démarrage des moteurs à piston)</v>
      </c>
      <c r="C833">
        <v>600000</v>
      </c>
      <c r="D833">
        <v>3060</v>
      </c>
    </row>
    <row r="834" spans="1:4" x14ac:dyDescent="0.25">
      <c r="A834" t="str">
        <f>T("   850780")</f>
        <v xml:space="preserve">   850780</v>
      </c>
      <c r="B834" t="str">
        <f>T("   Accumulateurs électriques (sauf hors d'usage et autres qu'au plomb, au nickel-cadmium ou au nickel-fer)")</f>
        <v xml:space="preserve">   Accumulateurs électriques (sauf hors d'usage et autres qu'au plomb, au nickel-cadmium ou au nickel-fer)</v>
      </c>
      <c r="C834">
        <v>735000</v>
      </c>
      <c r="D834">
        <v>600</v>
      </c>
    </row>
    <row r="835" spans="1:4" x14ac:dyDescent="0.25">
      <c r="A835" t="str">
        <f>T("   870322")</f>
        <v xml:space="preserve">   870322</v>
      </c>
      <c r="B835" t="s">
        <v>87</v>
      </c>
      <c r="C835">
        <v>1200000</v>
      </c>
      <c r="D835">
        <v>1000</v>
      </c>
    </row>
    <row r="836" spans="1:4" x14ac:dyDescent="0.25">
      <c r="A836" t="str">
        <f>T("   870323")</f>
        <v xml:space="preserve">   870323</v>
      </c>
      <c r="B836" t="s">
        <v>88</v>
      </c>
      <c r="C836">
        <v>5511983</v>
      </c>
      <c r="D836">
        <v>2967</v>
      </c>
    </row>
    <row r="837" spans="1:4" x14ac:dyDescent="0.25">
      <c r="A837" t="str">
        <f>T("   870324")</f>
        <v xml:space="preserve">   870324</v>
      </c>
      <c r="B837" t="s">
        <v>89</v>
      </c>
      <c r="C837">
        <v>3587970</v>
      </c>
      <c r="D837">
        <v>1445</v>
      </c>
    </row>
    <row r="838" spans="1:4" x14ac:dyDescent="0.25">
      <c r="A838" t="str">
        <f>T("   870333")</f>
        <v xml:space="preserve">   870333</v>
      </c>
      <c r="B838" t="s">
        <v>92</v>
      </c>
      <c r="C838">
        <v>9071927</v>
      </c>
      <c r="D838">
        <v>1790</v>
      </c>
    </row>
    <row r="839" spans="1:4" x14ac:dyDescent="0.25">
      <c r="A839" t="str">
        <f>T("   870422")</f>
        <v xml:space="preserve">   870422</v>
      </c>
      <c r="B839" t="s">
        <v>94</v>
      </c>
      <c r="C839">
        <v>174931</v>
      </c>
      <c r="D839">
        <v>10000</v>
      </c>
    </row>
    <row r="840" spans="1:4" x14ac:dyDescent="0.25">
      <c r="A840" t="str">
        <f>T("   870530")</f>
        <v xml:space="preserve">   870530</v>
      </c>
      <c r="B840" t="str">
        <f>T("   Voitures de lutte contre l'incendie (sauf véhicules affectés principalement au transport des sapeurs-pompiers)")</f>
        <v xml:space="preserve">   Voitures de lutte contre l'incendie (sauf véhicules affectés principalement au transport des sapeurs-pompiers)</v>
      </c>
      <c r="C840">
        <v>297232</v>
      </c>
      <c r="D840">
        <v>18500</v>
      </c>
    </row>
    <row r="841" spans="1:4" x14ac:dyDescent="0.25">
      <c r="A841" t="str">
        <f>T("   871130")</f>
        <v xml:space="preserve">   871130</v>
      </c>
      <c r="B841" t="str">
        <f>T("   Motocycles à moteur à piston alternatif, cylindrée &gt; 250 cm³ mais &lt;= 500 cm³")</f>
        <v xml:space="preserve">   Motocycles à moteur à piston alternatif, cylindrée &gt; 250 cm³ mais &lt;= 500 cm³</v>
      </c>
      <c r="C841">
        <v>110000</v>
      </c>
      <c r="D841">
        <v>75</v>
      </c>
    </row>
    <row r="842" spans="1:4" x14ac:dyDescent="0.25">
      <c r="A842" t="str">
        <f>T("   940350")</f>
        <v xml:space="preserve">   940350</v>
      </c>
      <c r="B842" t="str">
        <f>T("   Meubles pour chambres à coucher, en bois (sauf sièges)")</f>
        <v xml:space="preserve">   Meubles pour chambres à coucher, en bois (sauf sièges)</v>
      </c>
      <c r="C842">
        <v>7470820</v>
      </c>
      <c r="D842">
        <v>8000</v>
      </c>
    </row>
    <row r="843" spans="1:4" x14ac:dyDescent="0.25">
      <c r="A843" t="str">
        <f>T("NG")</f>
        <v>NG</v>
      </c>
      <c r="B843" t="str">
        <f>T("Nigéria")</f>
        <v>Nigéria</v>
      </c>
    </row>
    <row r="844" spans="1:4" x14ac:dyDescent="0.25">
      <c r="A844" t="str">
        <f>T("   ZZ_Total_Produit_SH6")</f>
        <v xml:space="preserve">   ZZ_Total_Produit_SH6</v>
      </c>
      <c r="B844" t="str">
        <f>T("   ZZ_Total_Produit_SH6")</f>
        <v xml:space="preserve">   ZZ_Total_Produit_SH6</v>
      </c>
      <c r="C844">
        <v>11425088007</v>
      </c>
      <c r="D844">
        <v>44381666.600000001</v>
      </c>
    </row>
    <row r="845" spans="1:4" x14ac:dyDescent="0.25">
      <c r="A845" t="str">
        <f>T("   080810")</f>
        <v xml:space="preserve">   080810</v>
      </c>
      <c r="B845" t="str">
        <f>T("   Pommes, fraîches")</f>
        <v xml:space="preserve">   Pommes, fraîches</v>
      </c>
      <c r="C845">
        <v>10720000</v>
      </c>
      <c r="D845">
        <v>24320</v>
      </c>
    </row>
    <row r="846" spans="1:4" x14ac:dyDescent="0.25">
      <c r="A846" t="str">
        <f>T("   100630")</f>
        <v xml:space="preserve">   100630</v>
      </c>
      <c r="B846" t="str">
        <f>T("   Riz semi-blanchi ou blanchi, même poli ou glacé")</f>
        <v xml:space="preserve">   Riz semi-blanchi ou blanchi, même poli ou glacé</v>
      </c>
      <c r="C846">
        <v>1371551900</v>
      </c>
      <c r="D846">
        <v>26399128</v>
      </c>
    </row>
    <row r="847" spans="1:4" x14ac:dyDescent="0.25">
      <c r="A847" t="str">
        <f>T("   110311")</f>
        <v xml:space="preserve">   110311</v>
      </c>
      <c r="B847" t="str">
        <f>T("   Gruaux et semoules de froment [blé]")</f>
        <v xml:space="preserve">   Gruaux et semoules de froment [blé]</v>
      </c>
      <c r="C847">
        <v>581996826</v>
      </c>
      <c r="D847">
        <v>1829267</v>
      </c>
    </row>
    <row r="848" spans="1:4" x14ac:dyDescent="0.25">
      <c r="A848" t="str">
        <f>T("   120799")</f>
        <v xml:space="preserve">   120799</v>
      </c>
      <c r="B848" t="s">
        <v>16</v>
      </c>
      <c r="C848">
        <v>106061688</v>
      </c>
      <c r="D848">
        <v>1161</v>
      </c>
    </row>
    <row r="849" spans="1:4" x14ac:dyDescent="0.25">
      <c r="A849" t="str">
        <f>T("   121230")</f>
        <v xml:space="preserve">   121230</v>
      </c>
      <c r="B849" t="str">
        <f>T("   Noyaux et amandes d'abricots, de pêches [y.c. des brugnons et nectarines] ou de prunes")</f>
        <v xml:space="preserve">   Noyaux et amandes d'abricots, de pêches [y.c. des brugnons et nectarines] ou de prunes</v>
      </c>
      <c r="C849">
        <v>91722468</v>
      </c>
      <c r="D849">
        <v>725</v>
      </c>
    </row>
    <row r="850" spans="1:4" x14ac:dyDescent="0.25">
      <c r="A850" t="str">
        <f>T("   150890")</f>
        <v xml:space="preserve">   150890</v>
      </c>
      <c r="B850" t="str">
        <f>T("   Huile d'arachide et ses fractions, même raffinées, mais non chimiquement modifiées (à l'excl. de l'huile d'arachide brute)")</f>
        <v xml:space="preserve">   Huile d'arachide et ses fractions, même raffinées, mais non chimiquement modifiées (à l'excl. de l'huile d'arachide brute)</v>
      </c>
      <c r="C850">
        <v>212274500</v>
      </c>
      <c r="D850">
        <v>300220</v>
      </c>
    </row>
    <row r="851" spans="1:4" x14ac:dyDescent="0.25">
      <c r="A851" t="str">
        <f>T("   150990")</f>
        <v xml:space="preserve">   150990</v>
      </c>
      <c r="B851"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851">
        <v>346619800</v>
      </c>
      <c r="D851">
        <v>626920</v>
      </c>
    </row>
    <row r="852" spans="1:4" x14ac:dyDescent="0.25">
      <c r="A852" t="str">
        <f>T("   151190")</f>
        <v xml:space="preserve">   151190</v>
      </c>
      <c r="B852" t="str">
        <f>T("   Huile de palme et ses fractions, même raffinées, mais non chimiquement modifiées (à l'excl. de l'huile de palme brute)")</f>
        <v xml:space="preserve">   Huile de palme et ses fractions, même raffinées, mais non chimiquement modifiées (à l'excl. de l'huile de palme brute)</v>
      </c>
      <c r="C852">
        <v>462513500</v>
      </c>
      <c r="D852">
        <v>757200</v>
      </c>
    </row>
    <row r="853" spans="1:4" x14ac:dyDescent="0.25">
      <c r="A853" t="str">
        <f>T("   151219")</f>
        <v xml:space="preserve">   151219</v>
      </c>
      <c r="B853" t="str">
        <f>T("   Huiles de tournesol ou de carthame et leurs fractions, même raffinées, mais non chimiquement modifiées (à l'excl. des huiles brutes)")</f>
        <v xml:space="preserve">   Huiles de tournesol ou de carthame et leurs fractions, même raffinées, mais non chimiquement modifiées (à l'excl. des huiles brutes)</v>
      </c>
      <c r="C853">
        <v>256369500</v>
      </c>
      <c r="D853">
        <v>427360</v>
      </c>
    </row>
    <row r="854" spans="1:4" x14ac:dyDescent="0.25">
      <c r="A854" t="str">
        <f>T("   151229")</f>
        <v xml:space="preserve">   151229</v>
      </c>
      <c r="B854" t="str">
        <f>T("   Huile de coton et ses fractions, même dépourvues de gossipol ou raffinées, mais non chimiquement modifiées (à l'excl. de l'huile de coton brute)")</f>
        <v xml:space="preserve">   Huile de coton et ses fractions, même dépourvues de gossipol ou raffinées, mais non chimiquement modifiées (à l'excl. de l'huile de coton brute)</v>
      </c>
      <c r="C854">
        <v>4281324600</v>
      </c>
      <c r="D854">
        <v>7200260</v>
      </c>
    </row>
    <row r="855" spans="1:4" x14ac:dyDescent="0.25">
      <c r="A855" t="str">
        <f>T("   151590")</f>
        <v xml:space="preserve">   151590</v>
      </c>
      <c r="B855" t="s">
        <v>18</v>
      </c>
      <c r="C855">
        <v>59137700</v>
      </c>
      <c r="D855">
        <v>93740</v>
      </c>
    </row>
    <row r="856" spans="1:4" x14ac:dyDescent="0.25">
      <c r="A856" t="str">
        <f>T("   151620")</f>
        <v xml:space="preserve">   151620</v>
      </c>
      <c r="B856"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856">
        <v>136247000</v>
      </c>
      <c r="D856">
        <v>231540</v>
      </c>
    </row>
    <row r="857" spans="1:4" x14ac:dyDescent="0.25">
      <c r="A857" t="str">
        <f>T("   190230")</f>
        <v xml:space="preserve">   190230</v>
      </c>
      <c r="B857" t="str">
        <f>T("   Pâtes alimentaires, cuites ou autrement préparées (à l'excl. des pâtes alimentaires farcies)")</f>
        <v xml:space="preserve">   Pâtes alimentaires, cuites ou autrement préparées (à l'excl. des pâtes alimentaires farcies)</v>
      </c>
      <c r="C857">
        <v>841436000</v>
      </c>
      <c r="D857">
        <v>1857480</v>
      </c>
    </row>
    <row r="858" spans="1:4" x14ac:dyDescent="0.25">
      <c r="A858" t="str">
        <f>T("   220890")</f>
        <v xml:space="preserve">   220890</v>
      </c>
      <c r="B858" t="s">
        <v>22</v>
      </c>
      <c r="C858">
        <v>55363650</v>
      </c>
      <c r="D858">
        <v>107120</v>
      </c>
    </row>
    <row r="859" spans="1:4" x14ac:dyDescent="0.25">
      <c r="A859" t="str">
        <f>T("   300490")</f>
        <v xml:space="preserve">   300490</v>
      </c>
      <c r="B859" t="s">
        <v>29</v>
      </c>
      <c r="C859">
        <v>7770502</v>
      </c>
      <c r="D859">
        <v>797</v>
      </c>
    </row>
    <row r="860" spans="1:4" x14ac:dyDescent="0.25">
      <c r="A860" t="str">
        <f>T("   320890")</f>
        <v xml:space="preserve">   320890</v>
      </c>
      <c r="B860" t="s">
        <v>32</v>
      </c>
      <c r="C860">
        <v>60994015</v>
      </c>
      <c r="D860">
        <v>46251</v>
      </c>
    </row>
    <row r="861" spans="1:4" x14ac:dyDescent="0.25">
      <c r="A861" t="str">
        <f>T("   391721")</f>
        <v xml:space="preserve">   391721</v>
      </c>
      <c r="B861" t="str">
        <f>T("   TUBES ET TUYAUX RIGIDES, EN POLYMÈRES DE L'ÉTHYLÈNE")</f>
        <v xml:space="preserve">   TUBES ET TUYAUX RIGIDES, EN POLYMÈRES DE L'ÉTHYLÈNE</v>
      </c>
      <c r="C861">
        <v>14564800</v>
      </c>
      <c r="D861">
        <v>7500</v>
      </c>
    </row>
    <row r="862" spans="1:4" x14ac:dyDescent="0.25">
      <c r="A862" t="str">
        <f>T("   392020")</f>
        <v xml:space="preserve">   392020</v>
      </c>
      <c r="B862" t="s">
        <v>39</v>
      </c>
      <c r="C862">
        <v>97097115</v>
      </c>
      <c r="D862">
        <v>54365</v>
      </c>
    </row>
    <row r="863" spans="1:4" x14ac:dyDescent="0.25">
      <c r="A863" t="str">
        <f>T("   400922")</f>
        <v xml:space="preserve">   400922</v>
      </c>
      <c r="B863" t="str">
        <f>T("   TUBES ET TUYAUX EN CAOUTCHOUC VULCANISÉ NON DURCI, RENFORCÉS SEULEMENT À L'AIDE DE MÉTAL OU AUTREMENT ASSOCIÉS SEULEMENT À DU MÉTAL, AVEC ACCESSOIRES [JOINTS, COUDES, RACCORDS, PAR EXEMPLE]")</f>
        <v xml:space="preserve">   TUBES ET TUYAUX EN CAOUTCHOUC VULCANISÉ NON DURCI, RENFORCÉS SEULEMENT À L'AIDE DE MÉTAL OU AUTREMENT ASSOCIÉS SEULEMENT À DU MÉTAL, AVEC ACCESSOIRES [JOINTS, COUDES, RACCORDS, PAR EXEMPLE]</v>
      </c>
      <c r="C863">
        <v>379788</v>
      </c>
      <c r="D863">
        <v>223</v>
      </c>
    </row>
    <row r="864" spans="1:4" x14ac:dyDescent="0.25">
      <c r="A864" t="str">
        <f>T("   481960")</f>
        <v xml:space="preserve">   481960</v>
      </c>
      <c r="B864" t="str">
        <f>T("   Cartonnages de bureau, de magasin ou simil., rigides (à l'excl. des emballages)")</f>
        <v xml:space="preserve">   Cartonnages de bureau, de magasin ou simil., rigides (à l'excl. des emballages)</v>
      </c>
      <c r="C864">
        <v>42738435</v>
      </c>
      <c r="D864">
        <v>73026</v>
      </c>
    </row>
    <row r="865" spans="1:4" x14ac:dyDescent="0.25">
      <c r="A865" t="str">
        <f>T("   520811")</f>
        <v xml:space="preserve">   520811</v>
      </c>
      <c r="B865" t="str">
        <f>T("   Tissus de coton, écrus, à armure toile, contenant &gt;= 85% en poids de coton, d'un poids &lt;= 100 g/m²")</f>
        <v xml:space="preserve">   Tissus de coton, écrus, à armure toile, contenant &gt;= 85% en poids de coton, d'un poids &lt;= 100 g/m²</v>
      </c>
      <c r="C865">
        <v>7700000</v>
      </c>
      <c r="D865">
        <v>12435</v>
      </c>
    </row>
    <row r="866" spans="1:4" x14ac:dyDescent="0.25">
      <c r="A866" t="str">
        <f>T("   520821")</f>
        <v xml:space="preserve">   520821</v>
      </c>
      <c r="B866" t="str">
        <f>T("   Tissus de coton, blanchis, à armure toile, contenant &gt;= 85% en poids de coton, d'un poids &lt;= 100 g/m²")</f>
        <v xml:space="preserve">   Tissus de coton, blanchis, à armure toile, contenant &gt;= 85% en poids de coton, d'un poids &lt;= 100 g/m²</v>
      </c>
      <c r="C866">
        <v>6600000</v>
      </c>
      <c r="D866">
        <v>13048</v>
      </c>
    </row>
    <row r="867" spans="1:4" x14ac:dyDescent="0.25">
      <c r="A867" t="str">
        <f>T("   520852")</f>
        <v xml:space="preserve">   520852</v>
      </c>
      <c r="B867" t="str">
        <f>T("   Tissus de coton, imprimés, à armure toile, contenant &gt;= 85% en poids de coton, d'un poids &gt; 100 g/m² mais &lt;= 200 g/m²")</f>
        <v xml:space="preserve">   Tissus de coton, imprimés, à armure toile, contenant &gt;= 85% en poids de coton, d'un poids &gt; 100 g/m² mais &lt;= 200 g/m²</v>
      </c>
      <c r="C867">
        <v>39450000</v>
      </c>
      <c r="D867">
        <v>30280</v>
      </c>
    </row>
    <row r="868" spans="1:4" x14ac:dyDescent="0.25">
      <c r="A868" t="str">
        <f>T("   521211")</f>
        <v xml:space="preserve">   521211</v>
      </c>
      <c r="B868" t="str">
        <f>T("   Tissus de coton, écrus, contenant en prédominance, mais &lt; 85% en poids de coton, autres que mélangés principalement ou uniquement avec des fibres synthétiques ou artificielles, d'un poids &lt;= 200 g/m²")</f>
        <v xml:space="preserve">   Tissus de coton, écrus, contenant en prédominance, mais &lt; 85% en poids de coton, autres que mélangés principalement ou uniquement avec des fibres synthétiques ou artificielles, d'un poids &lt;= 200 g/m²</v>
      </c>
      <c r="C868">
        <v>11620000</v>
      </c>
      <c r="D868">
        <v>16109</v>
      </c>
    </row>
    <row r="869" spans="1:4" x14ac:dyDescent="0.25">
      <c r="A869" t="str">
        <f>T("   720839")</f>
        <v xml:space="preserve">   720839</v>
      </c>
      <c r="B869"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869">
        <v>121862703</v>
      </c>
      <c r="D869">
        <v>312812</v>
      </c>
    </row>
    <row r="870" spans="1:4" x14ac:dyDescent="0.25">
      <c r="A870" t="str">
        <f>T("   720915")</f>
        <v xml:space="preserve">   720915</v>
      </c>
      <c r="B870" t="str">
        <f>T("   PRODUITS LAMINÉS PLATS, EN FER OU EN ACIERS NON ALLIÉS, D'UNE LARGEUR &gt;= 600 MM, ENROULÉS, SIMPLEMENT LAMINÉS À FROID, NON PLAQUÉS NI REVÊTUS, ÉPAISSEUR &gt;= 3 MM")</f>
        <v xml:space="preserve">   PRODUITS LAMINÉS PLATS, EN FER OU EN ACIERS NON ALLIÉS, D'UNE LARGEUR &gt;= 600 MM, ENROULÉS, SIMPLEMENT LAMINÉS À FROID, NON PLAQUÉS NI REVÊTUS, ÉPAISSEUR &gt;= 3 MM</v>
      </c>
      <c r="C870">
        <v>64741317</v>
      </c>
      <c r="D870">
        <v>157703.79999999999</v>
      </c>
    </row>
    <row r="871" spans="1:4" x14ac:dyDescent="0.25">
      <c r="A871" t="str">
        <f>T("   720917")</f>
        <v xml:space="preserve">   720917</v>
      </c>
      <c r="B871"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871">
        <v>311604291</v>
      </c>
      <c r="D871">
        <v>733845</v>
      </c>
    </row>
    <row r="872" spans="1:4" x14ac:dyDescent="0.25">
      <c r="A872" t="str">
        <f>T("   721049")</f>
        <v xml:space="preserve">   721049</v>
      </c>
      <c r="B872"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872">
        <v>232665481</v>
      </c>
      <c r="D872">
        <v>406694</v>
      </c>
    </row>
    <row r="873" spans="1:4" x14ac:dyDescent="0.25">
      <c r="A873" t="str">
        <f>T("   721391")</f>
        <v xml:space="preserve">   721391</v>
      </c>
      <c r="B873"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873">
        <v>110813655</v>
      </c>
      <c r="D873">
        <v>345000</v>
      </c>
    </row>
    <row r="874" spans="1:4" x14ac:dyDescent="0.25">
      <c r="A874" t="str">
        <f>T("   721399")</f>
        <v xml:space="preserve">   721399</v>
      </c>
      <c r="B874" t="s">
        <v>65</v>
      </c>
      <c r="C874">
        <v>118129366</v>
      </c>
      <c r="D874">
        <v>340000</v>
      </c>
    </row>
    <row r="875" spans="1:4" x14ac:dyDescent="0.25">
      <c r="A875" t="str">
        <f>T("   721420")</f>
        <v xml:space="preserve">   721420</v>
      </c>
      <c r="B875"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875">
        <v>44250007</v>
      </c>
      <c r="D875">
        <v>195000</v>
      </c>
    </row>
    <row r="876" spans="1:4" x14ac:dyDescent="0.25">
      <c r="A876" t="str">
        <f>T("   721590")</f>
        <v xml:space="preserve">   721590</v>
      </c>
      <c r="B876"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876">
        <v>50265946</v>
      </c>
      <c r="D876">
        <v>150000</v>
      </c>
    </row>
    <row r="877" spans="1:4" x14ac:dyDescent="0.25">
      <c r="A877" t="str">
        <f>T("   721661")</f>
        <v xml:space="preserve">   721661</v>
      </c>
      <c r="B877"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877">
        <v>44174943</v>
      </c>
      <c r="D877">
        <v>93000</v>
      </c>
    </row>
    <row r="878" spans="1:4" x14ac:dyDescent="0.25">
      <c r="A878" t="str">
        <f>T("   721669")</f>
        <v xml:space="preserve">   721669</v>
      </c>
      <c r="B878" t="str">
        <f>T("   Profilés en fer ou en aciers non alliés, simplement obtenus ou parachevés à froid (à l'excl. des profilés obtenus à partir de produits laminés plats et des tôles nervurées)")</f>
        <v xml:space="preserve">   Profilés en fer ou en aciers non alliés, simplement obtenus ou parachevés à froid (à l'excl. des profilés obtenus à partir de produits laminés plats et des tôles nervurées)</v>
      </c>
      <c r="C878">
        <v>520537579</v>
      </c>
      <c r="D878">
        <v>1163261.8</v>
      </c>
    </row>
    <row r="879" spans="1:4" x14ac:dyDescent="0.25">
      <c r="A879" t="str">
        <f>T("   731100")</f>
        <v xml:space="preserve">   731100</v>
      </c>
      <c r="B879"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879">
        <v>551006</v>
      </c>
      <c r="D879">
        <v>5000</v>
      </c>
    </row>
    <row r="880" spans="1:4" x14ac:dyDescent="0.25">
      <c r="A880" t="str">
        <f>T("   842919")</f>
        <v xml:space="preserve">   842919</v>
      </c>
      <c r="B880" t="str">
        <f>T("   Bouteurs 'bulldozers' et bouteurs biais 'angledozers', sur roues")</f>
        <v xml:space="preserve">   Bouteurs 'bulldozers' et bouteurs biais 'angledozers', sur roues</v>
      </c>
      <c r="C880">
        <v>126139889</v>
      </c>
      <c r="D880">
        <v>30060</v>
      </c>
    </row>
    <row r="881" spans="1:4" x14ac:dyDescent="0.25">
      <c r="A881" t="str">
        <f>T("   842940")</f>
        <v xml:space="preserve">   842940</v>
      </c>
      <c r="B881" t="str">
        <f>T("   Rouleaux compresseurs et autres compacteuses, autopropulsés")</f>
        <v xml:space="preserve">   Rouleaux compresseurs et autres compacteuses, autopropulsés</v>
      </c>
      <c r="C881">
        <v>67832787</v>
      </c>
      <c r="D881">
        <v>64685</v>
      </c>
    </row>
    <row r="882" spans="1:4" x14ac:dyDescent="0.25">
      <c r="A882" t="str">
        <f>T("   842951")</f>
        <v xml:space="preserve">   842951</v>
      </c>
      <c r="B882" t="str">
        <f>T("   Chargeuses et chargeuses-pelleteuses, à chargement frontal, autopropulsées")</f>
        <v xml:space="preserve">   Chargeuses et chargeuses-pelleteuses, à chargement frontal, autopropulsées</v>
      </c>
      <c r="C882">
        <v>98199238</v>
      </c>
      <c r="D882">
        <v>34200</v>
      </c>
    </row>
    <row r="883" spans="1:4" x14ac:dyDescent="0.25">
      <c r="A883" t="str">
        <f>T("   842952")</f>
        <v xml:space="preserve">   842952</v>
      </c>
      <c r="B883" t="str">
        <f>T("   Pelles mécaniques, autopropulsées, dont la superstructure peut effectuer une rotation de 360°")</f>
        <v xml:space="preserve">   Pelles mécaniques, autopropulsées, dont la superstructure peut effectuer une rotation de 360°</v>
      </c>
      <c r="C883">
        <v>60962955</v>
      </c>
      <c r="D883">
        <v>25000</v>
      </c>
    </row>
    <row r="884" spans="1:4" x14ac:dyDescent="0.25">
      <c r="A884" t="str">
        <f>T("   842959")</f>
        <v xml:space="preserve">   842959</v>
      </c>
      <c r="B884"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884">
        <v>164323535</v>
      </c>
      <c r="D884">
        <v>92202</v>
      </c>
    </row>
    <row r="885" spans="1:4" x14ac:dyDescent="0.25">
      <c r="A885" t="str">
        <f>T("   843141")</f>
        <v xml:space="preserve">   843141</v>
      </c>
      <c r="B885" t="str">
        <f>T("   Godets, bennes, bennes-preneuses, pelles, grappins et pinces pour machines et appareils du n° 8426, 8429 ou 8430")</f>
        <v xml:space="preserve">   Godets, bennes, bennes-preneuses, pelles, grappins et pinces pour machines et appareils du n° 8426, 8429 ou 8430</v>
      </c>
      <c r="C885">
        <v>16399000</v>
      </c>
      <c r="D885">
        <v>5070</v>
      </c>
    </row>
    <row r="886" spans="1:4" x14ac:dyDescent="0.25">
      <c r="A886" t="str">
        <f>T("   843149")</f>
        <v xml:space="preserve">   843149</v>
      </c>
      <c r="B886" t="str">
        <f>T("   Parties de machines et appareils du n° 8426, 8429 ou 8430, n.d.a.")</f>
        <v xml:space="preserve">   Parties de machines et appareils du n° 8426, 8429 ou 8430, n.d.a.</v>
      </c>
      <c r="C886">
        <v>17059979</v>
      </c>
      <c r="D886">
        <v>2194</v>
      </c>
    </row>
    <row r="887" spans="1:4" x14ac:dyDescent="0.25">
      <c r="A887" t="str">
        <f>T("   847431")</f>
        <v xml:space="preserve">   847431</v>
      </c>
      <c r="B887"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887">
        <v>6729166</v>
      </c>
      <c r="D887">
        <v>1631</v>
      </c>
    </row>
    <row r="888" spans="1:4" x14ac:dyDescent="0.25">
      <c r="A888" t="str">
        <f>T("   847439")</f>
        <v xml:space="preserve">   847439</v>
      </c>
      <c r="B888"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888">
        <v>22219950</v>
      </c>
      <c r="D888">
        <v>5403</v>
      </c>
    </row>
    <row r="889" spans="1:4" x14ac:dyDescent="0.25">
      <c r="A889" t="str">
        <f>T("   847910")</f>
        <v xml:space="preserve">   847910</v>
      </c>
      <c r="B889" t="str">
        <f>T("   Machines et appareils pour les travaux publics, le bâtiment ou les travaux analogues, n.d.a.")</f>
        <v xml:space="preserve">   Machines et appareils pour les travaux publics, le bâtiment ou les travaux analogues, n.d.a.</v>
      </c>
      <c r="C889">
        <v>31725200</v>
      </c>
      <c r="D889">
        <v>700</v>
      </c>
    </row>
    <row r="890" spans="1:4" x14ac:dyDescent="0.25">
      <c r="A890" t="str">
        <f>T("   850213")</f>
        <v xml:space="preserve">   850213</v>
      </c>
      <c r="B890" t="s">
        <v>82</v>
      </c>
      <c r="C890">
        <v>15000000</v>
      </c>
      <c r="D890">
        <v>54000</v>
      </c>
    </row>
    <row r="891" spans="1:4" x14ac:dyDescent="0.25">
      <c r="A891" t="str">
        <f>T("   850220")</f>
        <v xml:space="preserve">   850220</v>
      </c>
      <c r="B891" t="s">
        <v>83</v>
      </c>
      <c r="C891">
        <v>21744450</v>
      </c>
      <c r="D891">
        <v>15000</v>
      </c>
    </row>
    <row r="892" spans="1:4" x14ac:dyDescent="0.25">
      <c r="A892" t="str">
        <f>T("   852990")</f>
        <v xml:space="preserve">   852990</v>
      </c>
      <c r="B892" t="s">
        <v>85</v>
      </c>
      <c r="C892">
        <v>29125200</v>
      </c>
      <c r="D892">
        <v>15000</v>
      </c>
    </row>
    <row r="893" spans="1:4" x14ac:dyDescent="0.25">
      <c r="A893" t="str">
        <f>T("   870322")</f>
        <v xml:space="preserve">   870322</v>
      </c>
      <c r="B893" t="s">
        <v>87</v>
      </c>
      <c r="C893">
        <v>5705488</v>
      </c>
      <c r="D893">
        <v>2830</v>
      </c>
    </row>
    <row r="894" spans="1:4" x14ac:dyDescent="0.25">
      <c r="A894" t="str">
        <f>T("   870323")</f>
        <v xml:space="preserve">   870323</v>
      </c>
      <c r="B894" t="s">
        <v>88</v>
      </c>
      <c r="C894">
        <v>3000000</v>
      </c>
      <c r="D894">
        <v>6000</v>
      </c>
    </row>
    <row r="895" spans="1:4" x14ac:dyDescent="0.25">
      <c r="A895" t="str">
        <f>T("   870422")</f>
        <v xml:space="preserve">   870422</v>
      </c>
      <c r="B895" t="s">
        <v>94</v>
      </c>
      <c r="C895">
        <v>15390789</v>
      </c>
      <c r="D895">
        <v>14000</v>
      </c>
    </row>
    <row r="896" spans="1:4" x14ac:dyDescent="0.25">
      <c r="A896" t="str">
        <f>T("   870590")</f>
        <v xml:space="preserve">   870590</v>
      </c>
      <c r="B896" t="s">
        <v>97</v>
      </c>
      <c r="C896">
        <v>1680300</v>
      </c>
      <c r="D896">
        <v>900</v>
      </c>
    </row>
    <row r="897" spans="1:4" x14ac:dyDescent="0.25">
      <c r="A897" t="str">
        <f>T("NL")</f>
        <v>NL</v>
      </c>
      <c r="B897" t="str">
        <f>T("Pays-bas")</f>
        <v>Pays-bas</v>
      </c>
    </row>
    <row r="898" spans="1:4" x14ac:dyDescent="0.25">
      <c r="A898" t="str">
        <f>T("   ZZ_Total_Produit_SH6")</f>
        <v xml:space="preserve">   ZZ_Total_Produit_SH6</v>
      </c>
      <c r="B898" t="str">
        <f>T("   ZZ_Total_Produit_SH6")</f>
        <v xml:space="preserve">   ZZ_Total_Produit_SH6</v>
      </c>
      <c r="C898">
        <v>5876596519</v>
      </c>
      <c r="D898">
        <v>13763235.26</v>
      </c>
    </row>
    <row r="899" spans="1:4" x14ac:dyDescent="0.25">
      <c r="A899" t="str">
        <f>T("   040510")</f>
        <v xml:space="preserve">   040510</v>
      </c>
      <c r="B899" t="str">
        <f>T("   Beurre (sauf beurre déshydraté et ghee)")</f>
        <v xml:space="preserve">   Beurre (sauf beurre déshydraté et ghee)</v>
      </c>
      <c r="C899">
        <v>606061600</v>
      </c>
      <c r="D899">
        <v>946969</v>
      </c>
    </row>
    <row r="900" spans="1:4" x14ac:dyDescent="0.25">
      <c r="A900" t="str">
        <f>T("   080131")</f>
        <v xml:space="preserve">   080131</v>
      </c>
      <c r="B900" t="str">
        <f>T("   Noix de cajou, fraîches ou sèches, en coques")</f>
        <v xml:space="preserve">   Noix de cajou, fraîches ou sèches, en coques</v>
      </c>
      <c r="C900">
        <v>44651250</v>
      </c>
      <c r="D900">
        <v>15876</v>
      </c>
    </row>
    <row r="901" spans="1:4" x14ac:dyDescent="0.25">
      <c r="A901" t="str">
        <f>T("   080211")</f>
        <v xml:space="preserve">   080211</v>
      </c>
      <c r="B901" t="str">
        <f>T("   Amandes, fraîches ou sèches, en coques")</f>
        <v xml:space="preserve">   Amandes, fraîches ou sèches, en coques</v>
      </c>
      <c r="C901">
        <v>88976250</v>
      </c>
      <c r="D901">
        <v>31636</v>
      </c>
    </row>
    <row r="902" spans="1:4" x14ac:dyDescent="0.25">
      <c r="A902" t="str">
        <f>T("   120799")</f>
        <v xml:space="preserve">   120799</v>
      </c>
      <c r="B902" t="s">
        <v>16</v>
      </c>
      <c r="C902">
        <v>51579483</v>
      </c>
      <c r="D902">
        <v>50178</v>
      </c>
    </row>
    <row r="903" spans="1:4" x14ac:dyDescent="0.25">
      <c r="A903" t="str">
        <f>T("   170111")</f>
        <v xml:space="preserve">   170111</v>
      </c>
      <c r="B903" t="str">
        <f>T("   Sucres de canne, bruts, sans addition d'aromatisants ou de colorants")</f>
        <v xml:space="preserve">   Sucres de canne, bruts, sans addition d'aromatisants ou de colorants</v>
      </c>
      <c r="C903">
        <v>4437145198</v>
      </c>
      <c r="D903">
        <v>12300000</v>
      </c>
    </row>
    <row r="904" spans="1:4" x14ac:dyDescent="0.25">
      <c r="A904" t="str">
        <f>T("   230610")</f>
        <v xml:space="preserve">   230610</v>
      </c>
      <c r="B904"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904">
        <v>3128400</v>
      </c>
      <c r="D904">
        <v>156420</v>
      </c>
    </row>
    <row r="905" spans="1:4" x14ac:dyDescent="0.25">
      <c r="A905" t="str">
        <f>T("   392321")</f>
        <v xml:space="preserve">   392321</v>
      </c>
      <c r="B905" t="str">
        <f>T("   Sacs, sachets, pochettes et cornets, en polymères de l'éthylène")</f>
        <v xml:space="preserve">   Sacs, sachets, pochettes et cornets, en polymères de l'éthylène</v>
      </c>
      <c r="C905">
        <v>10015694</v>
      </c>
      <c r="D905">
        <v>3257.96</v>
      </c>
    </row>
    <row r="906" spans="1:4" x14ac:dyDescent="0.25">
      <c r="A906" t="str">
        <f>T("   392390")</f>
        <v xml:space="preserve">   392390</v>
      </c>
      <c r="B906" t="s">
        <v>40</v>
      </c>
      <c r="C906">
        <v>2258471</v>
      </c>
      <c r="D906">
        <v>812</v>
      </c>
    </row>
    <row r="907" spans="1:4" x14ac:dyDescent="0.25">
      <c r="A907" t="str">
        <f>T("   401039")</f>
        <v xml:space="preserve">   401039</v>
      </c>
      <c r="B907" t="s">
        <v>42</v>
      </c>
      <c r="C907">
        <v>65596</v>
      </c>
      <c r="D907">
        <v>10</v>
      </c>
    </row>
    <row r="908" spans="1:4" x14ac:dyDescent="0.25">
      <c r="A908" t="str">
        <f>T("   481920")</f>
        <v xml:space="preserve">   481920</v>
      </c>
      <c r="B908" t="str">
        <f>T("   Boîtes et cartonnages, pliants, en papier ou en carton non ondulé")</f>
        <v xml:space="preserve">   Boîtes et cartonnages, pliants, en papier ou en carton non ondulé</v>
      </c>
      <c r="C908">
        <v>26168705</v>
      </c>
      <c r="D908">
        <v>29212</v>
      </c>
    </row>
    <row r="909" spans="1:4" x14ac:dyDescent="0.25">
      <c r="A909" t="str">
        <f>T("   620590")</f>
        <v xml:space="preserve">   620590</v>
      </c>
      <c r="B90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09">
        <v>1050000</v>
      </c>
      <c r="D909">
        <v>1600</v>
      </c>
    </row>
    <row r="910" spans="1:4" x14ac:dyDescent="0.25">
      <c r="A910" t="str">
        <f>T("   630629")</f>
        <v xml:space="preserve">   630629</v>
      </c>
      <c r="B910" t="str">
        <f>T("   Tentes de matières textiles (autres que de coton ou fibres synthétiques et sauf paravents)")</f>
        <v xml:space="preserve">   Tentes de matières textiles (autres que de coton ou fibres synthétiques et sauf paravents)</v>
      </c>
      <c r="C910">
        <v>6840022</v>
      </c>
      <c r="D910">
        <v>12000</v>
      </c>
    </row>
    <row r="911" spans="1:4" x14ac:dyDescent="0.25">
      <c r="A911" t="str">
        <f>T("   732394")</f>
        <v xml:space="preserve">   732394</v>
      </c>
      <c r="B911" t="s">
        <v>67</v>
      </c>
      <c r="C911">
        <v>550000</v>
      </c>
      <c r="D911">
        <v>700</v>
      </c>
    </row>
    <row r="912" spans="1:4" x14ac:dyDescent="0.25">
      <c r="A912" t="str">
        <f>T("   740400")</f>
        <v xml:space="preserve">   740400</v>
      </c>
      <c r="B912" t="str">
        <f>T("   Déchets et débris de cuivre (à l'excl. des déchets lingotés ou formes brutes simil., en déchets et débris de cuivre fondus, et sauf cendres et résidus contenant du cuivre et déchets et débris de piles, batteries et accumulateurs électriques)")</f>
        <v xml:space="preserve">   Déchets et débris de cuivre (à l'excl. des déchets lingotés ou formes brutes simil., en déchets et débris de cuivre fondus, et sauf cendres et résidus contenant du cuivre et déchets et débris de piles, batteries et accumulateurs électriques)</v>
      </c>
      <c r="C912">
        <v>1000000</v>
      </c>
      <c r="D912">
        <v>20000</v>
      </c>
    </row>
    <row r="913" spans="1:4" x14ac:dyDescent="0.25">
      <c r="A913" t="str">
        <f>T("   760719")</f>
        <v xml:space="preserve">   760719</v>
      </c>
      <c r="B913"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913">
        <v>828000</v>
      </c>
      <c r="D913">
        <v>75</v>
      </c>
    </row>
    <row r="914" spans="1:4" x14ac:dyDescent="0.25">
      <c r="A914" t="str">
        <f>T("   842920")</f>
        <v xml:space="preserve">   842920</v>
      </c>
      <c r="B914" t="str">
        <f>T("   Niveleuses autopropulsées")</f>
        <v xml:space="preserve">   Niveleuses autopropulsées</v>
      </c>
      <c r="C914">
        <v>4500000</v>
      </c>
      <c r="D914">
        <v>15856</v>
      </c>
    </row>
    <row r="915" spans="1:4" x14ac:dyDescent="0.25">
      <c r="A915" t="str">
        <f>T("   842959")</f>
        <v xml:space="preserve">   842959</v>
      </c>
      <c r="B915"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915">
        <v>160382220</v>
      </c>
      <c r="D915">
        <v>130000</v>
      </c>
    </row>
    <row r="916" spans="1:4" x14ac:dyDescent="0.25">
      <c r="A916" t="str">
        <f>T("   843039")</f>
        <v xml:space="preserve">   843039</v>
      </c>
      <c r="B916" t="str">
        <f>T("   Haveuses, abatteuses et autres machines à creuser les tunnels ou les galeries, non autopropulsées (à l'excl. de l'outillage pour emploi à la main et du soutènement marchant hydraulique pour mines)")</f>
        <v xml:space="preserve">   Haveuses, abatteuses et autres machines à creuser les tunnels ou les galeries, non autopropulsées (à l'excl. de l'outillage pour emploi à la main et du soutènement marchant hydraulique pour mines)</v>
      </c>
      <c r="C916">
        <v>2755144</v>
      </c>
      <c r="D916">
        <v>184</v>
      </c>
    </row>
    <row r="917" spans="1:4" x14ac:dyDescent="0.25">
      <c r="A917" t="str">
        <f>T("   843139")</f>
        <v xml:space="preserve">   843139</v>
      </c>
      <c r="B917" t="str">
        <f>T("   Parties de machines et appareils du n° 8428, n.d.a.")</f>
        <v xml:space="preserve">   Parties de machines et appareils du n° 8428, n.d.a.</v>
      </c>
      <c r="C917">
        <v>133552123</v>
      </c>
      <c r="D917">
        <v>10070.700000000001</v>
      </c>
    </row>
    <row r="918" spans="1:4" x14ac:dyDescent="0.25">
      <c r="A918" t="str">
        <f>T("   843141")</f>
        <v xml:space="preserve">   843141</v>
      </c>
      <c r="B918" t="str">
        <f>T("   Godets, bennes, bennes-preneuses, pelles, grappins et pinces pour machines et appareils du n° 8426, 8429 ou 8430")</f>
        <v xml:space="preserve">   Godets, bennes, bennes-preneuses, pelles, grappins et pinces pour machines et appareils du n° 8426, 8429 ou 8430</v>
      </c>
      <c r="C918">
        <v>18366880</v>
      </c>
      <c r="D918">
        <v>6625</v>
      </c>
    </row>
    <row r="919" spans="1:4" x14ac:dyDescent="0.25">
      <c r="A919" t="str">
        <f>T("   843149")</f>
        <v xml:space="preserve">   843149</v>
      </c>
      <c r="B919" t="str">
        <f>T("   Parties de machines et appareils du n° 8426, 8429 ou 8430, n.d.a.")</f>
        <v xml:space="preserve">   Parties de machines et appareils du n° 8426, 8429 ou 8430, n.d.a.</v>
      </c>
      <c r="C919">
        <v>156296254</v>
      </c>
      <c r="D919">
        <v>23204.6</v>
      </c>
    </row>
    <row r="920" spans="1:4" x14ac:dyDescent="0.25">
      <c r="A920" t="str">
        <f>T("   870323")</f>
        <v xml:space="preserve">   870323</v>
      </c>
      <c r="B920" t="s">
        <v>88</v>
      </c>
      <c r="C920">
        <v>2789378</v>
      </c>
      <c r="D920">
        <v>1225</v>
      </c>
    </row>
    <row r="921" spans="1:4" x14ac:dyDescent="0.25">
      <c r="A921" t="str">
        <f>T("   901580")</f>
        <v xml:space="preserve">   901580</v>
      </c>
      <c r="B921" t="s">
        <v>99</v>
      </c>
      <c r="C921">
        <v>111273066</v>
      </c>
      <c r="D921">
        <v>1006</v>
      </c>
    </row>
    <row r="922" spans="1:4" x14ac:dyDescent="0.25">
      <c r="A922" t="str">
        <f>T("   901590")</f>
        <v xml:space="preserve">   901590</v>
      </c>
      <c r="B922" t="str">
        <f>T("   Parties et accessoires des instruments et appareils de géodésie, de topographie, d'arpentage, de nivellement, de photogrammétrie, d'hydrographie, d'océanographie, d'hydrologie, de météorologie ou de géophysique ainsi que des télémètres, n.d.a.")</f>
        <v xml:space="preserve">   Parties et accessoires des instruments et appareils de géodésie, de topographie, d'arpentage, de nivellement, de photogrammétrie, d'hydrographie, d'océanographie, d'hydrologie, de météorologie ou de géophysique ainsi que des télémètres, n.d.a.</v>
      </c>
      <c r="C922">
        <v>2840785</v>
      </c>
      <c r="D922">
        <v>318</v>
      </c>
    </row>
    <row r="923" spans="1:4" x14ac:dyDescent="0.25">
      <c r="A923" t="str">
        <f>T("   940330")</f>
        <v xml:space="preserve">   940330</v>
      </c>
      <c r="B923" t="str">
        <f>T("   Meubles de bureau en bois (sauf sièges)")</f>
        <v xml:space="preserve">   Meubles de bureau en bois (sauf sièges)</v>
      </c>
      <c r="C923">
        <v>1622000</v>
      </c>
      <c r="D923">
        <v>2300</v>
      </c>
    </row>
    <row r="924" spans="1:4" x14ac:dyDescent="0.25">
      <c r="A924" t="str">
        <f>T("   940350")</f>
        <v xml:space="preserve">   940350</v>
      </c>
      <c r="B924" t="str">
        <f>T("   Meubles pour chambres à coucher, en bois (sauf sièges)")</f>
        <v xml:space="preserve">   Meubles pour chambres à coucher, en bois (sauf sièges)</v>
      </c>
      <c r="C924">
        <v>1900000</v>
      </c>
      <c r="D924">
        <v>3700</v>
      </c>
    </row>
    <row r="925" spans="1:4" x14ac:dyDescent="0.25">
      <c r="A925" t="str">
        <f>T("NO")</f>
        <v>NO</v>
      </c>
      <c r="B925" t="str">
        <f>T("Norvège")</f>
        <v>Norvège</v>
      </c>
    </row>
    <row r="926" spans="1:4" x14ac:dyDescent="0.25">
      <c r="A926" t="str">
        <f>T("   ZZ_Total_Produit_SH6")</f>
        <v xml:space="preserve">   ZZ_Total_Produit_SH6</v>
      </c>
      <c r="B926" t="str">
        <f>T("   ZZ_Total_Produit_SH6")</f>
        <v xml:space="preserve">   ZZ_Total_Produit_SH6</v>
      </c>
      <c r="C926">
        <v>18372362400</v>
      </c>
      <c r="D926">
        <v>2871000</v>
      </c>
    </row>
    <row r="927" spans="1:4" x14ac:dyDescent="0.25">
      <c r="A927" t="str">
        <f>T("   890520")</f>
        <v xml:space="preserve">   890520</v>
      </c>
      <c r="B927" t="str">
        <f>T("   Plates-formes de forage ou d'exploitation, flottantes ou submersibles")</f>
        <v xml:space="preserve">   Plates-formes de forage ou d'exploitation, flottantes ou submersibles</v>
      </c>
      <c r="C927">
        <v>18372362400</v>
      </c>
      <c r="D927">
        <v>2871000</v>
      </c>
    </row>
    <row r="928" spans="1:4" x14ac:dyDescent="0.25">
      <c r="A928" t="str">
        <f>T("NR")</f>
        <v>NR</v>
      </c>
      <c r="B928" t="str">
        <f>T("Nauru")</f>
        <v>Nauru</v>
      </c>
    </row>
    <row r="929" spans="1:4" x14ac:dyDescent="0.25">
      <c r="A929" t="str">
        <f>T("   ZZ_Total_Produit_SH6")</f>
        <v xml:space="preserve">   ZZ_Total_Produit_SH6</v>
      </c>
      <c r="B929" t="str">
        <f>T("   ZZ_Total_Produit_SH6")</f>
        <v xml:space="preserve">   ZZ_Total_Produit_SH6</v>
      </c>
      <c r="C929">
        <v>3520000</v>
      </c>
      <c r="D929">
        <v>24000</v>
      </c>
    </row>
    <row r="930" spans="1:4" x14ac:dyDescent="0.25">
      <c r="A930" t="str">
        <f>T("   200941")</f>
        <v xml:space="preserve">   200941</v>
      </c>
      <c r="B930" t="str">
        <f>T("   JUS D'ANANAS, NON-FERMENTÉS, SANS ADDITION D'ALCOOL, AVEC OU SANS ADDITION DE SUCRE OU D'AUTRES ÉDULCORANTS, D'UNE VALEUR BRIX &lt;= 20 À 20°C")</f>
        <v xml:space="preserve">   JUS D'ANANAS, NON-FERMENTÉS, SANS ADDITION D'ALCOOL, AVEC OU SANS ADDITION DE SUCRE OU D'AUTRES ÉDULCORANTS, D'UNE VALEUR BRIX &lt;= 20 À 20°C</v>
      </c>
      <c r="C930">
        <v>3520000</v>
      </c>
      <c r="D930">
        <v>24000</v>
      </c>
    </row>
    <row r="931" spans="1:4" x14ac:dyDescent="0.25">
      <c r="A931" t="str">
        <f>T("PG")</f>
        <v>PG</v>
      </c>
      <c r="B931" t="str">
        <f>T("Papouasie Nouvelle Guinée")</f>
        <v>Papouasie Nouvelle Guinée</v>
      </c>
    </row>
    <row r="932" spans="1:4" x14ac:dyDescent="0.25">
      <c r="A932" t="str">
        <f>T("   ZZ_Total_Produit_SH6")</f>
        <v xml:space="preserve">   ZZ_Total_Produit_SH6</v>
      </c>
      <c r="B932" t="str">
        <f>T("   ZZ_Total_Produit_SH6")</f>
        <v xml:space="preserve">   ZZ_Total_Produit_SH6</v>
      </c>
      <c r="C932">
        <v>1039058</v>
      </c>
      <c r="D932">
        <v>531</v>
      </c>
    </row>
    <row r="933" spans="1:4" x14ac:dyDescent="0.25">
      <c r="A933" t="str">
        <f>T("   870899")</f>
        <v xml:space="preserve">   870899</v>
      </c>
      <c r="B933"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933">
        <v>1039058</v>
      </c>
      <c r="D933">
        <v>531</v>
      </c>
    </row>
    <row r="934" spans="1:4" x14ac:dyDescent="0.25">
      <c r="A934" t="str">
        <f>T("PK")</f>
        <v>PK</v>
      </c>
      <c r="B934" t="str">
        <f>T("Pakistan")</f>
        <v>Pakistan</v>
      </c>
    </row>
    <row r="935" spans="1:4" x14ac:dyDescent="0.25">
      <c r="A935" t="str">
        <f>T("   ZZ_Total_Produit_SH6")</f>
        <v xml:space="preserve">   ZZ_Total_Produit_SH6</v>
      </c>
      <c r="B935" t="str">
        <f>T("   ZZ_Total_Produit_SH6")</f>
        <v xml:space="preserve">   ZZ_Total_Produit_SH6</v>
      </c>
      <c r="C935">
        <v>379252372</v>
      </c>
      <c r="D935">
        <v>399975</v>
      </c>
    </row>
    <row r="936" spans="1:4" x14ac:dyDescent="0.25">
      <c r="A936" t="str">
        <f>T("   520100")</f>
        <v xml:space="preserve">   520100</v>
      </c>
      <c r="B936" t="str">
        <f>T("   COTON, NON-CARDÉ NI PEIGNÉ")</f>
        <v xml:space="preserve">   COTON, NON-CARDÉ NI PEIGNÉ</v>
      </c>
      <c r="C936">
        <v>379252372</v>
      </c>
      <c r="D936">
        <v>399975</v>
      </c>
    </row>
    <row r="937" spans="1:4" x14ac:dyDescent="0.25">
      <c r="A937" t="str">
        <f>T("PL")</f>
        <v>PL</v>
      </c>
      <c r="B937" t="str">
        <f>T("Pologne")</f>
        <v>Pologne</v>
      </c>
    </row>
    <row r="938" spans="1:4" x14ac:dyDescent="0.25">
      <c r="A938" t="str">
        <f>T("   ZZ_Total_Produit_SH6")</f>
        <v xml:space="preserve">   ZZ_Total_Produit_SH6</v>
      </c>
      <c r="B938" t="str">
        <f>T("   ZZ_Total_Produit_SH6")</f>
        <v xml:space="preserve">   ZZ_Total_Produit_SH6</v>
      </c>
      <c r="C938">
        <v>500000</v>
      </c>
      <c r="D938">
        <v>10000</v>
      </c>
    </row>
    <row r="939" spans="1:4" x14ac:dyDescent="0.25">
      <c r="A939" t="str">
        <f>T("   440320")</f>
        <v xml:space="preserve">   440320</v>
      </c>
      <c r="B939" t="s">
        <v>45</v>
      </c>
      <c r="C939">
        <v>500000</v>
      </c>
      <c r="D939">
        <v>10000</v>
      </c>
    </row>
    <row r="940" spans="1:4" x14ac:dyDescent="0.25">
      <c r="A940" t="str">
        <f>T("PT")</f>
        <v>PT</v>
      </c>
      <c r="B940" t="str">
        <f>T("Portugal")</f>
        <v>Portugal</v>
      </c>
    </row>
    <row r="941" spans="1:4" x14ac:dyDescent="0.25">
      <c r="A941" t="str">
        <f>T("   ZZ_Total_Produit_SH6")</f>
        <v xml:space="preserve">   ZZ_Total_Produit_SH6</v>
      </c>
      <c r="B941" t="str">
        <f>T("   ZZ_Total_Produit_SH6")</f>
        <v xml:space="preserve">   ZZ_Total_Produit_SH6</v>
      </c>
      <c r="C941">
        <v>1202931124</v>
      </c>
      <c r="D941">
        <v>7788960</v>
      </c>
    </row>
    <row r="942" spans="1:4" x14ac:dyDescent="0.25">
      <c r="A942" t="str">
        <f>T("   230610")</f>
        <v xml:space="preserve">   230610</v>
      </c>
      <c r="B942"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942">
        <v>890637931</v>
      </c>
      <c r="D942">
        <v>7328398</v>
      </c>
    </row>
    <row r="943" spans="1:4" x14ac:dyDescent="0.25">
      <c r="A943" t="str">
        <f>T("   230649")</f>
        <v xml:space="preserve">   230649</v>
      </c>
      <c r="B943" t="s">
        <v>23</v>
      </c>
      <c r="C943">
        <v>2250000</v>
      </c>
      <c r="D943">
        <v>15000</v>
      </c>
    </row>
    <row r="944" spans="1:4" x14ac:dyDescent="0.25">
      <c r="A944" t="str">
        <f>T("   520100")</f>
        <v xml:space="preserve">   520100</v>
      </c>
      <c r="B944" t="str">
        <f>T("   COTON, NON-CARDÉ NI PEIGNÉ")</f>
        <v xml:space="preserve">   COTON, NON-CARDÉ NI PEIGNÉ</v>
      </c>
      <c r="C944">
        <v>310043193</v>
      </c>
      <c r="D944">
        <v>445562</v>
      </c>
    </row>
    <row r="945" spans="1:4" x14ac:dyDescent="0.25">
      <c r="A945" t="str">
        <f>T("SA")</f>
        <v>SA</v>
      </c>
      <c r="B945" t="str">
        <f>T("Arabie Saoudite")</f>
        <v>Arabie Saoudite</v>
      </c>
    </row>
    <row r="946" spans="1:4" x14ac:dyDescent="0.25">
      <c r="A946" t="str">
        <f>T("   ZZ_Total_Produit_SH6")</f>
        <v xml:space="preserve">   ZZ_Total_Produit_SH6</v>
      </c>
      <c r="B946" t="str">
        <f>T("   ZZ_Total_Produit_SH6")</f>
        <v xml:space="preserve">   ZZ_Total_Produit_SH6</v>
      </c>
      <c r="C946">
        <v>4000000</v>
      </c>
      <c r="D946">
        <v>80000</v>
      </c>
    </row>
    <row r="947" spans="1:4" x14ac:dyDescent="0.25">
      <c r="A947" t="str">
        <f>T("   720429")</f>
        <v xml:space="preserve">   720429</v>
      </c>
      <c r="B947"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947">
        <v>4000000</v>
      </c>
      <c r="D947">
        <v>80000</v>
      </c>
    </row>
    <row r="948" spans="1:4" x14ac:dyDescent="0.25">
      <c r="A948" t="str">
        <f>T("SD")</f>
        <v>SD</v>
      </c>
      <c r="B948" t="str">
        <f>T("Soudan")</f>
        <v>Soudan</v>
      </c>
    </row>
    <row r="949" spans="1:4" x14ac:dyDescent="0.25">
      <c r="A949" t="str">
        <f>T("   ZZ_Total_Produit_SH6")</f>
        <v xml:space="preserve">   ZZ_Total_Produit_SH6</v>
      </c>
      <c r="B949" t="str">
        <f>T("   ZZ_Total_Produit_SH6")</f>
        <v xml:space="preserve">   ZZ_Total_Produit_SH6</v>
      </c>
      <c r="C949">
        <v>3280000</v>
      </c>
      <c r="D949">
        <v>4800</v>
      </c>
    </row>
    <row r="950" spans="1:4" x14ac:dyDescent="0.25">
      <c r="A950" t="str">
        <f>T("   870323")</f>
        <v xml:space="preserve">   870323</v>
      </c>
      <c r="B950" t="s">
        <v>88</v>
      </c>
      <c r="C950">
        <v>1700000</v>
      </c>
      <c r="D950">
        <v>3000</v>
      </c>
    </row>
    <row r="951" spans="1:4" x14ac:dyDescent="0.25">
      <c r="A951" t="str">
        <f>T("   940350")</f>
        <v xml:space="preserve">   940350</v>
      </c>
      <c r="B951" t="str">
        <f>T("   Meubles pour chambres à coucher, en bois (sauf sièges)")</f>
        <v xml:space="preserve">   Meubles pour chambres à coucher, en bois (sauf sièges)</v>
      </c>
      <c r="C951">
        <v>1580000</v>
      </c>
      <c r="D951">
        <v>1800</v>
      </c>
    </row>
    <row r="952" spans="1:4" x14ac:dyDescent="0.25">
      <c r="A952" t="str">
        <f>T("SG")</f>
        <v>SG</v>
      </c>
      <c r="B952" t="str">
        <f>T("Singapour")</f>
        <v>Singapour</v>
      </c>
    </row>
    <row r="953" spans="1:4" x14ac:dyDescent="0.25">
      <c r="A953" t="str">
        <f>T("   ZZ_Total_Produit_SH6")</f>
        <v xml:space="preserve">   ZZ_Total_Produit_SH6</v>
      </c>
      <c r="B953" t="str">
        <f>T("   ZZ_Total_Produit_SH6")</f>
        <v xml:space="preserve">   ZZ_Total_Produit_SH6</v>
      </c>
      <c r="C953">
        <v>4462748042</v>
      </c>
      <c r="D953">
        <v>9131092</v>
      </c>
    </row>
    <row r="954" spans="1:4" x14ac:dyDescent="0.25">
      <c r="A954" t="str">
        <f>T("   080131")</f>
        <v xml:space="preserve">   080131</v>
      </c>
      <c r="B954" t="str">
        <f>T("   Noix de cajou, fraîches ou sèches, en coques")</f>
        <v xml:space="preserve">   Noix de cajou, fraîches ou sèches, en coques</v>
      </c>
      <c r="C954">
        <v>1617633013</v>
      </c>
      <c r="D954">
        <v>5891296</v>
      </c>
    </row>
    <row r="955" spans="1:4" x14ac:dyDescent="0.25">
      <c r="A955" t="str">
        <f>T("   440729")</f>
        <v xml:space="preserve">   440729</v>
      </c>
      <c r="B955" t="s">
        <v>47</v>
      </c>
      <c r="C955">
        <v>71429889</v>
      </c>
      <c r="D955">
        <v>55000</v>
      </c>
    </row>
    <row r="956" spans="1:4" x14ac:dyDescent="0.25">
      <c r="A956" t="str">
        <f>T("   520100")</f>
        <v xml:space="preserve">   520100</v>
      </c>
      <c r="B956" t="str">
        <f>T("   COTON, NON-CARDÉ NI PEIGNÉ")</f>
        <v xml:space="preserve">   COTON, NON-CARDÉ NI PEIGNÉ</v>
      </c>
      <c r="C956">
        <v>2759090465</v>
      </c>
      <c r="D956">
        <v>3070466</v>
      </c>
    </row>
    <row r="957" spans="1:4" x14ac:dyDescent="0.25">
      <c r="A957" t="str">
        <f>T("   690810")</f>
        <v xml:space="preserve">   690810</v>
      </c>
      <c r="B957"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957">
        <v>2453675</v>
      </c>
      <c r="D957">
        <v>2000</v>
      </c>
    </row>
    <row r="958" spans="1:4" x14ac:dyDescent="0.25">
      <c r="A958" t="str">
        <f>T("   720429")</f>
        <v xml:space="preserve">   720429</v>
      </c>
      <c r="B958"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958">
        <v>5500000</v>
      </c>
      <c r="D958">
        <v>110000</v>
      </c>
    </row>
    <row r="959" spans="1:4" x14ac:dyDescent="0.25">
      <c r="A959" t="str">
        <f>T("   850610")</f>
        <v xml:space="preserve">   850610</v>
      </c>
      <c r="B959" t="str">
        <f>T("   Piles et batteries de piles électriques, au bioxyde de manganèse (sauf hors d'usage)")</f>
        <v xml:space="preserve">   Piles et batteries de piles électriques, au bioxyde de manganèse (sauf hors d'usage)</v>
      </c>
      <c r="C959">
        <v>3891000</v>
      </c>
      <c r="D959">
        <v>2000</v>
      </c>
    </row>
    <row r="960" spans="1:4" x14ac:dyDescent="0.25">
      <c r="A960" t="str">
        <f>T("   852849")</f>
        <v xml:space="preserve">   852849</v>
      </c>
      <c r="B960" t="str">
        <f>T("   MONITEURS À TUBE CATHODIQUE, N'INCORPORANT PAS D'APPAREIL DE RÉCEPTION DE TÉLÉVISION (À L'EXCL. DES TYPES EXCLUSIVEMENT OU PRINCIPALEMENT DESTINÉS À UNE MACHINE AUTOMATIQUE DE TRAITEMENT DE L'INFORMATION DU N° 8471)")</f>
        <v xml:space="preserve">   MONITEURS À TUBE CATHODIQUE, N'INCORPORANT PAS D'APPAREIL DE RÉCEPTION DE TÉLÉVISION (À L'EXCL. DES TYPES EXCLUSIVEMENT OU PRINCIPALEMENT DESTINÉS À UNE MACHINE AUTOMATIQUE DE TRAITEMENT DE L'INFORMATION DU N° 8471)</v>
      </c>
      <c r="C960">
        <v>2750000</v>
      </c>
      <c r="D960">
        <v>330</v>
      </c>
    </row>
    <row r="961" spans="1:4" x14ac:dyDescent="0.25">
      <c r="A961" t="str">
        <f>T("SL")</f>
        <v>SL</v>
      </c>
      <c r="B961" t="str">
        <f>T("Sierra Leone")</f>
        <v>Sierra Leone</v>
      </c>
    </row>
    <row r="962" spans="1:4" x14ac:dyDescent="0.25">
      <c r="A962" t="str">
        <f>T("   ZZ_Total_Produit_SH6")</f>
        <v xml:space="preserve">   ZZ_Total_Produit_SH6</v>
      </c>
      <c r="B962" t="str">
        <f>T("   ZZ_Total_Produit_SH6")</f>
        <v xml:space="preserve">   ZZ_Total_Produit_SH6</v>
      </c>
      <c r="C962">
        <v>12823290</v>
      </c>
      <c r="D962">
        <v>1604</v>
      </c>
    </row>
    <row r="963" spans="1:4" x14ac:dyDescent="0.25">
      <c r="A963" t="str">
        <f>T("   121230")</f>
        <v xml:space="preserve">   121230</v>
      </c>
      <c r="B963" t="str">
        <f>T("   Noyaux et amandes d'abricots, de pêches [y.c. des brugnons et nectarines] ou de prunes")</f>
        <v xml:space="preserve">   Noyaux et amandes d'abricots, de pêches [y.c. des brugnons et nectarines] ou de prunes</v>
      </c>
      <c r="C963">
        <v>10823290</v>
      </c>
      <c r="D963">
        <v>104</v>
      </c>
    </row>
    <row r="964" spans="1:4" x14ac:dyDescent="0.25">
      <c r="A964" t="str">
        <f>T("   940360")</f>
        <v xml:space="preserve">   940360</v>
      </c>
      <c r="B964" t="str">
        <f>T("   Meubles en bois (autres que pour bureaux, cuisines ou chambres à coucher et autres que sièges)")</f>
        <v xml:space="preserve">   Meubles en bois (autres que pour bureaux, cuisines ou chambres à coucher et autres que sièges)</v>
      </c>
      <c r="C964">
        <v>2000000</v>
      </c>
      <c r="D964">
        <v>1500</v>
      </c>
    </row>
    <row r="965" spans="1:4" x14ac:dyDescent="0.25">
      <c r="A965" t="str">
        <f>T("SN")</f>
        <v>SN</v>
      </c>
      <c r="B965" t="str">
        <f>T("Sénégal")</f>
        <v>Sénégal</v>
      </c>
    </row>
    <row r="966" spans="1:4" x14ac:dyDescent="0.25">
      <c r="A966" t="str">
        <f>T("   ZZ_Total_Produit_SH6")</f>
        <v xml:space="preserve">   ZZ_Total_Produit_SH6</v>
      </c>
      <c r="B966" t="str">
        <f>T("   ZZ_Total_Produit_SH6")</f>
        <v xml:space="preserve">   ZZ_Total_Produit_SH6</v>
      </c>
      <c r="C966">
        <v>588869782</v>
      </c>
      <c r="D966">
        <v>751536.5</v>
      </c>
    </row>
    <row r="967" spans="1:4" x14ac:dyDescent="0.25">
      <c r="A967" t="str">
        <f>T("   090420")</f>
        <v xml:space="preserve">   090420</v>
      </c>
      <c r="B967" t="str">
        <f>T("   Piments du genre 'Capsicum' ou du genre 'Pimenta', séchés ou broyés ou pulvérisés")</f>
        <v xml:space="preserve">   Piments du genre 'Capsicum' ou du genre 'Pimenta', séchés ou broyés ou pulvérisés</v>
      </c>
      <c r="C967">
        <v>23556000</v>
      </c>
      <c r="D967">
        <v>26010</v>
      </c>
    </row>
    <row r="968" spans="1:4" x14ac:dyDescent="0.25">
      <c r="A968" t="str">
        <f>T("   110620")</f>
        <v xml:space="preserve">   110620</v>
      </c>
      <c r="B968" t="str">
        <f>T("   Farines, semoules et poudres de sagou ou des racines ou tubercules du n° 0714")</f>
        <v xml:space="preserve">   Farines, semoules et poudres de sagou ou des racines ou tubercules du n° 0714</v>
      </c>
      <c r="C968">
        <v>3900000</v>
      </c>
      <c r="D968">
        <v>13000</v>
      </c>
    </row>
    <row r="969" spans="1:4" x14ac:dyDescent="0.25">
      <c r="A969" t="str">
        <f>T("   150790")</f>
        <v xml:space="preserve">   150790</v>
      </c>
      <c r="B969" t="str">
        <f>T("   Huile de soja et ses fractions, même raffinées, mais non chimiquement modifiées (à l'excl. de l'huile de soja brute)")</f>
        <v xml:space="preserve">   Huile de soja et ses fractions, même raffinées, mais non chimiquement modifiées (à l'excl. de l'huile de soja brute)</v>
      </c>
      <c r="C969">
        <v>270402041</v>
      </c>
      <c r="D969">
        <v>407980</v>
      </c>
    </row>
    <row r="970" spans="1:4" x14ac:dyDescent="0.25">
      <c r="A970" t="str">
        <f>T("   151110")</f>
        <v xml:space="preserve">   151110</v>
      </c>
      <c r="B970" t="str">
        <f>T("   Huile de palme, brute")</f>
        <v xml:space="preserve">   Huile de palme, brute</v>
      </c>
      <c r="C970">
        <v>120000</v>
      </c>
      <c r="D970">
        <v>400</v>
      </c>
    </row>
    <row r="971" spans="1:4" x14ac:dyDescent="0.25">
      <c r="A971" t="str">
        <f>T("   151620")</f>
        <v xml:space="preserve">   151620</v>
      </c>
      <c r="B971"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971">
        <v>94000</v>
      </c>
      <c r="D971">
        <v>200</v>
      </c>
    </row>
    <row r="972" spans="1:4" x14ac:dyDescent="0.25">
      <c r="A972" t="str">
        <f>T("   200941")</f>
        <v xml:space="preserve">   200941</v>
      </c>
      <c r="B972" t="str">
        <f>T("   JUS D'ANANAS, NON-FERMENTÉS, SANS ADDITION D'ALCOOL, AVEC OU SANS ADDITION DE SUCRE OU D'AUTRES ÉDULCORANTS, D'UNE VALEUR BRIX &lt;= 20 À 20°C")</f>
        <v xml:space="preserve">   JUS D'ANANAS, NON-FERMENTÉS, SANS ADDITION D'ALCOOL, AVEC OU SANS ADDITION DE SUCRE OU D'AUTRES ÉDULCORANTS, D'UNE VALEUR BRIX &lt;= 20 À 20°C</v>
      </c>
      <c r="C972">
        <v>58830770</v>
      </c>
      <c r="D972">
        <v>128600</v>
      </c>
    </row>
    <row r="973" spans="1:4" x14ac:dyDescent="0.25">
      <c r="A973" t="str">
        <f>T("   230610")</f>
        <v xml:space="preserve">   230610</v>
      </c>
      <c r="B973"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973">
        <v>2000000</v>
      </c>
      <c r="D973">
        <v>5000</v>
      </c>
    </row>
    <row r="974" spans="1:4" x14ac:dyDescent="0.25">
      <c r="A974" t="str">
        <f>T("   392390")</f>
        <v xml:space="preserve">   392390</v>
      </c>
      <c r="B974" t="s">
        <v>40</v>
      </c>
      <c r="C974">
        <v>4516947</v>
      </c>
      <c r="D974">
        <v>1623</v>
      </c>
    </row>
    <row r="975" spans="1:4" x14ac:dyDescent="0.25">
      <c r="A975" t="str">
        <f>T("   481910")</f>
        <v xml:space="preserve">   481910</v>
      </c>
      <c r="B975" t="str">
        <f>T("   Boîtes et caisses en papier ou en carton ondulé")</f>
        <v xml:space="preserve">   Boîtes et caisses en papier ou en carton ondulé</v>
      </c>
      <c r="C975">
        <v>3328988</v>
      </c>
      <c r="D975">
        <v>7816</v>
      </c>
    </row>
    <row r="976" spans="1:4" x14ac:dyDescent="0.25">
      <c r="A976" t="str">
        <f>T("   490199")</f>
        <v xml:space="preserve">   490199</v>
      </c>
      <c r="B97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76">
        <v>6344752</v>
      </c>
      <c r="D976">
        <v>15470</v>
      </c>
    </row>
    <row r="977" spans="1:4" x14ac:dyDescent="0.25">
      <c r="A977" t="str">
        <f>T("   620349")</f>
        <v xml:space="preserve">   620349</v>
      </c>
      <c r="B977" t="s">
        <v>51</v>
      </c>
      <c r="C977">
        <v>1500000</v>
      </c>
      <c r="D977">
        <v>3200</v>
      </c>
    </row>
    <row r="978" spans="1:4" x14ac:dyDescent="0.25">
      <c r="A978" t="str">
        <f>T("   620590")</f>
        <v xml:space="preserve">   620590</v>
      </c>
      <c r="B97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78">
        <v>3350000</v>
      </c>
      <c r="D978">
        <v>2750</v>
      </c>
    </row>
    <row r="979" spans="1:4" x14ac:dyDescent="0.25">
      <c r="A979" t="str">
        <f>T("   621030")</f>
        <v xml:space="preserve">   621030</v>
      </c>
      <c r="B979" t="str">
        <f>T("   Vêtements des types du n° 6202.11 à 6202.19 [manteaux, cabans, capes et articles simil.], caoutchoutés ou imprégnés, enduits ou recouverts de matière plastique ou d'autres substances")</f>
        <v xml:space="preserve">   Vêtements des types du n° 6202.11 à 6202.19 [manteaux, cabans, capes et articles simil.], caoutchoutés ou imprégnés, enduits ou recouverts de matière plastique ou d'autres substances</v>
      </c>
      <c r="C979">
        <v>2200000</v>
      </c>
      <c r="D979">
        <v>700</v>
      </c>
    </row>
    <row r="980" spans="1:4" x14ac:dyDescent="0.25">
      <c r="A980" t="str">
        <f>T("   621050")</f>
        <v xml:space="preserve">   621050</v>
      </c>
      <c r="B980" t="s">
        <v>53</v>
      </c>
      <c r="C980">
        <v>1500000</v>
      </c>
      <c r="D980">
        <v>1070</v>
      </c>
    </row>
    <row r="981" spans="1:4" x14ac:dyDescent="0.25">
      <c r="A981" t="str">
        <f>T("   731021")</f>
        <v xml:space="preserve">   731021</v>
      </c>
      <c r="B981"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981">
        <v>15008143</v>
      </c>
      <c r="D981">
        <v>34913.5</v>
      </c>
    </row>
    <row r="982" spans="1:4" x14ac:dyDescent="0.25">
      <c r="A982" t="str">
        <f>T("   732394")</f>
        <v xml:space="preserve">   732394</v>
      </c>
      <c r="B982" t="s">
        <v>67</v>
      </c>
      <c r="C982">
        <v>1950000</v>
      </c>
      <c r="D982">
        <v>1885</v>
      </c>
    </row>
    <row r="983" spans="1:4" x14ac:dyDescent="0.25">
      <c r="A983" t="str">
        <f>T("   842940")</f>
        <v xml:space="preserve">   842940</v>
      </c>
      <c r="B983" t="str">
        <f>T("   Rouleaux compresseurs et autres compacteuses, autopropulsés")</f>
        <v xml:space="preserve">   Rouleaux compresseurs et autres compacteuses, autopropulsés</v>
      </c>
      <c r="C983">
        <v>14481246</v>
      </c>
      <c r="D983">
        <v>19640</v>
      </c>
    </row>
    <row r="984" spans="1:4" x14ac:dyDescent="0.25">
      <c r="A984" t="str">
        <f>T("   842959")</f>
        <v xml:space="preserve">   842959</v>
      </c>
      <c r="B984"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984">
        <v>24995874</v>
      </c>
      <c r="D984">
        <v>18860</v>
      </c>
    </row>
    <row r="985" spans="1:4" x14ac:dyDescent="0.25">
      <c r="A985" t="str">
        <f>T("   870322")</f>
        <v xml:space="preserve">   870322</v>
      </c>
      <c r="B985" t="s">
        <v>87</v>
      </c>
      <c r="C985">
        <v>12217380</v>
      </c>
      <c r="D985">
        <v>3200</v>
      </c>
    </row>
    <row r="986" spans="1:4" x14ac:dyDescent="0.25">
      <c r="A986" t="str">
        <f>T("   870323")</f>
        <v xml:space="preserve">   870323</v>
      </c>
      <c r="B986" t="s">
        <v>88</v>
      </c>
      <c r="C986">
        <v>70916449</v>
      </c>
      <c r="D986">
        <v>9449</v>
      </c>
    </row>
    <row r="987" spans="1:4" x14ac:dyDescent="0.25">
      <c r="A987" t="str">
        <f>T("   870331")</f>
        <v xml:space="preserve">   870331</v>
      </c>
      <c r="B987" t="s">
        <v>90</v>
      </c>
      <c r="C987">
        <v>13550392</v>
      </c>
      <c r="D987">
        <v>1500</v>
      </c>
    </row>
    <row r="988" spans="1:4" x14ac:dyDescent="0.25">
      <c r="A988" t="str">
        <f>T("   870421")</f>
        <v xml:space="preserve">   870421</v>
      </c>
      <c r="B988" t="s">
        <v>93</v>
      </c>
      <c r="C988">
        <v>2500000</v>
      </c>
      <c r="D988">
        <v>1800</v>
      </c>
    </row>
    <row r="989" spans="1:4" x14ac:dyDescent="0.25">
      <c r="A989" t="str">
        <f>T("   940350")</f>
        <v xml:space="preserve">   940350</v>
      </c>
      <c r="B989" t="str">
        <f>T("   Meubles pour chambres à coucher, en bois (sauf sièges)")</f>
        <v xml:space="preserve">   Meubles pour chambres à coucher, en bois (sauf sièges)</v>
      </c>
      <c r="C989">
        <v>9320000</v>
      </c>
      <c r="D989">
        <v>12850</v>
      </c>
    </row>
    <row r="990" spans="1:4" x14ac:dyDescent="0.25">
      <c r="A990" t="str">
        <f>T("   940360")</f>
        <v xml:space="preserve">   940360</v>
      </c>
      <c r="B990" t="str">
        <f>T("   Meubles en bois (autres que pour bureaux, cuisines ou chambres à coucher et autres que sièges)")</f>
        <v xml:space="preserve">   Meubles en bois (autres que pour bureaux, cuisines ou chambres à coucher et autres que sièges)</v>
      </c>
      <c r="C990">
        <v>1000000</v>
      </c>
      <c r="D990">
        <v>1900</v>
      </c>
    </row>
    <row r="991" spans="1:4" x14ac:dyDescent="0.25">
      <c r="A991" t="str">
        <f>T("   940381")</f>
        <v xml:space="preserve">   940381</v>
      </c>
      <c r="B991" t="str">
        <f>T("   MEUBLES EN BAMBOU OU EN ROTIN (À L'EXCL. DES SIÈGES ET MOBILIER POUR LA MÉDECINE, L'ART DENTAIRE ET VÉTÉRINAIRE OU LA CHIRURGIE)")</f>
        <v xml:space="preserve">   MEUBLES EN BAMBOU OU EN ROTIN (À L'EXCL. DES SIÈGES ET MOBILIER POUR LA MÉDECINE, L'ART DENTAIRE ET VÉTÉRINAIRE OU LA CHIRURGIE)</v>
      </c>
      <c r="C991">
        <v>2000000</v>
      </c>
      <c r="D991">
        <v>2400</v>
      </c>
    </row>
    <row r="992" spans="1:4" x14ac:dyDescent="0.25">
      <c r="A992" t="str">
        <f>T("   940389")</f>
        <v xml:space="preserve">   940389</v>
      </c>
      <c r="B992"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992">
        <v>39286800</v>
      </c>
      <c r="D992">
        <v>29320</v>
      </c>
    </row>
    <row r="993" spans="1:4" x14ac:dyDescent="0.25">
      <c r="A993" t="str">
        <f>T("SR")</f>
        <v>SR</v>
      </c>
      <c r="B993" t="str">
        <f>T("Suriname")</f>
        <v>Suriname</v>
      </c>
    </row>
    <row r="994" spans="1:4" x14ac:dyDescent="0.25">
      <c r="A994" t="str">
        <f>T("   ZZ_Total_Produit_SH6")</f>
        <v xml:space="preserve">   ZZ_Total_Produit_SH6</v>
      </c>
      <c r="B994" t="str">
        <f>T("   ZZ_Total_Produit_SH6")</f>
        <v xml:space="preserve">   ZZ_Total_Produit_SH6</v>
      </c>
      <c r="C994">
        <v>2000000</v>
      </c>
      <c r="D994">
        <v>3000</v>
      </c>
    </row>
    <row r="995" spans="1:4" x14ac:dyDescent="0.25">
      <c r="A995" t="str">
        <f>T("   490199")</f>
        <v xml:space="preserve">   490199</v>
      </c>
      <c r="B99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95">
        <v>2000000</v>
      </c>
      <c r="D995">
        <v>3000</v>
      </c>
    </row>
    <row r="996" spans="1:4" x14ac:dyDescent="0.25">
      <c r="A996" t="str">
        <f>T("SV")</f>
        <v>SV</v>
      </c>
      <c r="B996" t="str">
        <f>T("El Salvador")</f>
        <v>El Salvador</v>
      </c>
    </row>
    <row r="997" spans="1:4" x14ac:dyDescent="0.25">
      <c r="A997" t="str">
        <f>T("   ZZ_Total_Produit_SH6")</f>
        <v xml:space="preserve">   ZZ_Total_Produit_SH6</v>
      </c>
      <c r="B997" t="str">
        <f>T("   ZZ_Total_Produit_SH6")</f>
        <v xml:space="preserve">   ZZ_Total_Produit_SH6</v>
      </c>
      <c r="C997">
        <v>200000</v>
      </c>
      <c r="D997">
        <v>26</v>
      </c>
    </row>
    <row r="998" spans="1:4" x14ac:dyDescent="0.25">
      <c r="A998" t="str">
        <f>T("   442190")</f>
        <v xml:space="preserve">   442190</v>
      </c>
      <c r="B998" t="str">
        <f>T("   Ouvrages, en bois, n.d.a.")</f>
        <v xml:space="preserve">   Ouvrages, en bois, n.d.a.</v>
      </c>
      <c r="C998">
        <v>200000</v>
      </c>
      <c r="D998">
        <v>26</v>
      </c>
    </row>
    <row r="999" spans="1:4" x14ac:dyDescent="0.25">
      <c r="A999" t="str">
        <f>T("TD")</f>
        <v>TD</v>
      </c>
      <c r="B999" t="str">
        <f>T("Tchad")</f>
        <v>Tchad</v>
      </c>
    </row>
    <row r="1000" spans="1:4" x14ac:dyDescent="0.25">
      <c r="A1000" t="str">
        <f>T("   ZZ_Total_Produit_SH6")</f>
        <v xml:space="preserve">   ZZ_Total_Produit_SH6</v>
      </c>
      <c r="B1000" t="str">
        <f>T("   ZZ_Total_Produit_SH6")</f>
        <v xml:space="preserve">   ZZ_Total_Produit_SH6</v>
      </c>
      <c r="C1000">
        <v>19259594274</v>
      </c>
      <c r="D1000">
        <v>49549540</v>
      </c>
    </row>
    <row r="1001" spans="1:4" x14ac:dyDescent="0.25">
      <c r="A1001" t="str">
        <f>T("   720827")</f>
        <v xml:space="preserve">   720827</v>
      </c>
      <c r="B1001" t="str">
        <f>T("   PRODUITS LAMINÉS PLATS, EN FER OU EN ACIERS NON ALLIÉS, D'UNE LARGEUR &gt;= 600 MM, ENROULÉS, SIMPLEMENT LAMINÉS À CHAUD, NON PLAQUÉS NI REVÊTUS, ÉPAISSEUR &lt; 3 MM, DÉCAPÉS (SANS MOTIFS EN RELIEF)")</f>
        <v xml:space="preserve">   PRODUITS LAMINÉS PLATS, EN FER OU EN ACIERS NON ALLIÉS, D'UNE LARGEUR &gt;= 600 MM, ENROULÉS, SIMPLEMENT LAMINÉS À CHAUD, NON PLAQUÉS NI REVÊTUS, ÉPAISSEUR &lt; 3 MM, DÉCAPÉS (SANS MOTIFS EN RELIEF)</v>
      </c>
      <c r="C1001">
        <v>43697936</v>
      </c>
      <c r="D1001">
        <v>125000</v>
      </c>
    </row>
    <row r="1002" spans="1:4" x14ac:dyDescent="0.25">
      <c r="A1002" t="str">
        <f>T("   720839")</f>
        <v xml:space="preserve">   720839</v>
      </c>
      <c r="B1002"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1002">
        <v>99549284</v>
      </c>
      <c r="D1002">
        <v>267428</v>
      </c>
    </row>
    <row r="1003" spans="1:4" x14ac:dyDescent="0.25">
      <c r="A1003" t="str">
        <f>T("   720915")</f>
        <v xml:space="preserve">   720915</v>
      </c>
      <c r="B1003" t="str">
        <f>T("   PRODUITS LAMINÉS PLATS, EN FER OU EN ACIERS NON ALLIÉS, D'UNE LARGEUR &gt;= 600 MM, ENROULÉS, SIMPLEMENT LAMINÉS À FROID, NON PLAQUÉS NI REVÊTUS, ÉPAISSEUR &gt;= 3 MM")</f>
        <v xml:space="preserve">   PRODUITS LAMINÉS PLATS, EN FER OU EN ACIERS NON ALLIÉS, D'UNE LARGEUR &gt;= 600 MM, ENROULÉS, SIMPLEMENT LAMINÉS À FROID, NON PLAQUÉS NI REVÊTUS, ÉPAISSEUR &gt;= 3 MM</v>
      </c>
      <c r="C1003">
        <v>32841982</v>
      </c>
      <c r="D1003">
        <v>80000</v>
      </c>
    </row>
    <row r="1004" spans="1:4" x14ac:dyDescent="0.25">
      <c r="A1004" t="str">
        <f>T("   720917")</f>
        <v xml:space="preserve">   720917</v>
      </c>
      <c r="B1004"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1004">
        <v>690917005</v>
      </c>
      <c r="D1004">
        <v>1535572</v>
      </c>
    </row>
    <row r="1005" spans="1:4" x14ac:dyDescent="0.25">
      <c r="A1005" t="str">
        <f>T("   720918")</f>
        <v xml:space="preserve">   720918</v>
      </c>
      <c r="B1005" t="str">
        <f>T("   PRODUITS LAMINÉS PLATS, EN FER OU EN ACIERS NON-ALLIÉS, D'UNE LARGEUR &gt;= 600 MM, NON-PLAQUÉS NI REVÊTUS, ENROULÉS, SIMPL. LAMINÉS À FROID, D'UNE ÉPAISSEUR &lt; 0,5 MM")</f>
        <v xml:space="preserve">   PRODUITS LAMINÉS PLATS, EN FER OU EN ACIERS NON-ALLIÉS, D'UNE LARGEUR &gt;= 600 MM, NON-PLAQUÉS NI REVÊTUS, ENROULÉS, SIMPL. LAMINÉS À FROID, D'UNE ÉPAISSEUR &lt; 0,5 MM</v>
      </c>
      <c r="C1005">
        <v>92007312</v>
      </c>
      <c r="D1005">
        <v>229000</v>
      </c>
    </row>
    <row r="1006" spans="1:4" x14ac:dyDescent="0.25">
      <c r="A1006" t="str">
        <f>T("   720990")</f>
        <v xml:space="preserve">   720990</v>
      </c>
      <c r="B1006" t="str">
        <f>T("   PRODUITS LAMINÉS PLATS, EN FER OU EN ACIER, D'UNE LARGEUR &gt;= 600 MM, LAMINÉS À FROID ET AYANT SUBI CERTAINES OUVRAISONS PLUS POUSSÉES, MAIS NON-PLAQUÉS NI REVÊTUS")</f>
        <v xml:space="preserve">   PRODUITS LAMINÉS PLATS, EN FER OU EN ACIER, D'UNE LARGEUR &gt;= 600 MM, LAMINÉS À FROID ET AYANT SUBI CERTAINES OUVRAISONS PLUS POUSSÉES, MAIS NON-PLAQUÉS NI REVÊTUS</v>
      </c>
      <c r="C1006">
        <v>131487936</v>
      </c>
      <c r="D1006">
        <v>350000</v>
      </c>
    </row>
    <row r="1007" spans="1:4" x14ac:dyDescent="0.25">
      <c r="A1007" t="str">
        <f>T("   721049")</f>
        <v xml:space="preserve">   721049</v>
      </c>
      <c r="B1007"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1007">
        <v>14745400</v>
      </c>
      <c r="D1007">
        <v>25000</v>
      </c>
    </row>
    <row r="1008" spans="1:4" x14ac:dyDescent="0.25">
      <c r="A1008" t="str">
        <f>T("   721391")</f>
        <v xml:space="preserve">   721391</v>
      </c>
      <c r="B1008"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008">
        <v>4772045952</v>
      </c>
      <c r="D1008">
        <v>13893000</v>
      </c>
    </row>
    <row r="1009" spans="1:4" x14ac:dyDescent="0.25">
      <c r="A1009" t="str">
        <f>T("   721399")</f>
        <v xml:space="preserve">   721399</v>
      </c>
      <c r="B1009" t="s">
        <v>65</v>
      </c>
      <c r="C1009">
        <v>4967780167</v>
      </c>
      <c r="D1009">
        <v>13469000</v>
      </c>
    </row>
    <row r="1010" spans="1:4" x14ac:dyDescent="0.25">
      <c r="A1010" t="str">
        <f>T("   721420")</f>
        <v xml:space="preserve">   721420</v>
      </c>
      <c r="B1010"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010">
        <v>5722798002</v>
      </c>
      <c r="D1010">
        <v>13993000</v>
      </c>
    </row>
    <row r="1011" spans="1:4" x14ac:dyDescent="0.25">
      <c r="A1011" t="str">
        <f>T("   721590")</f>
        <v xml:space="preserve">   721590</v>
      </c>
      <c r="B1011"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1011">
        <v>920604145</v>
      </c>
      <c r="D1011">
        <v>2329000</v>
      </c>
    </row>
    <row r="1012" spans="1:4" x14ac:dyDescent="0.25">
      <c r="A1012" t="str">
        <f>T("   721610")</f>
        <v xml:space="preserve">   721610</v>
      </c>
      <c r="B1012" t="str">
        <f>T("   PROFILÉS U, I OU H EN FER OU EN ACIERS NON ALLIÉS, SIMPLEMENT LAMINÉS OU FILÉS À CHAUD, HAUTEUR &lt; 80 MM")</f>
        <v xml:space="preserve">   PROFILÉS U, I OU H EN FER OU EN ACIERS NON ALLIÉS, SIMPLEMENT LAMINÉS OU FILÉS À CHAUD, HAUTEUR &lt; 80 MM</v>
      </c>
      <c r="C1012">
        <v>117516992</v>
      </c>
      <c r="D1012">
        <v>212000</v>
      </c>
    </row>
    <row r="1013" spans="1:4" x14ac:dyDescent="0.25">
      <c r="A1013" t="str">
        <f>T("   721631")</f>
        <v xml:space="preserve">   721631</v>
      </c>
      <c r="B1013" t="str">
        <f>T("   PROFILÉS EN U, EN FER OU EN ACIERS NON-ALLIÉS, SIMPL. LAMINÉS OU FILÉS À CHAUD, D'UNE HAUTEUR &gt;= 80 MM")</f>
        <v xml:space="preserve">   PROFILÉS EN U, EN FER OU EN ACIERS NON-ALLIÉS, SIMPL. LAMINÉS OU FILÉS À CHAUD, D'UNE HAUTEUR &gt;= 80 MM</v>
      </c>
      <c r="C1013">
        <v>137132962</v>
      </c>
      <c r="D1013">
        <v>258000</v>
      </c>
    </row>
    <row r="1014" spans="1:4" x14ac:dyDescent="0.25">
      <c r="A1014" t="str">
        <f>T("   721633")</f>
        <v xml:space="preserve">   721633</v>
      </c>
      <c r="B1014" t="str">
        <f>T("   PROFILÉS EN H, EN FER OU EN ACIERS NON-ALLIÉS, SIMPL. LAMINÉS OU FILÉS À CHAUD, D'UNE HAUTEUR &gt;= 80 MM")</f>
        <v xml:space="preserve">   PROFILÉS EN H, EN FER OU EN ACIERS NON-ALLIÉS, SIMPL. LAMINÉS OU FILÉS À CHAUD, D'UNE HAUTEUR &gt;= 80 MM</v>
      </c>
      <c r="C1014">
        <v>324049732</v>
      </c>
      <c r="D1014">
        <v>615000</v>
      </c>
    </row>
    <row r="1015" spans="1:4" x14ac:dyDescent="0.25">
      <c r="A1015" t="str">
        <f>T("   721650")</f>
        <v xml:space="preserve">   721650</v>
      </c>
      <c r="B1015"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1015">
        <v>10080027</v>
      </c>
      <c r="D1015">
        <v>24000</v>
      </c>
    </row>
    <row r="1016" spans="1:4" x14ac:dyDescent="0.25">
      <c r="A1016" t="str">
        <f>T("   721661")</f>
        <v xml:space="preserve">   721661</v>
      </c>
      <c r="B1016"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1016">
        <v>140378921</v>
      </c>
      <c r="D1016">
        <v>236000</v>
      </c>
    </row>
    <row r="1017" spans="1:4" x14ac:dyDescent="0.25">
      <c r="A1017" t="str">
        <f>T("   721669")</f>
        <v xml:space="preserve">   721669</v>
      </c>
      <c r="B1017" t="str">
        <f>T("   Profilés en fer ou en aciers non alliés, simplement obtenus ou parachevés à froid (à l'excl. des profilés obtenus à partir de produits laminés plats et des tôles nervurées)")</f>
        <v xml:space="preserve">   Profilés en fer ou en aciers non alliés, simplement obtenus ou parachevés à froid (à l'excl. des profilés obtenus à partir de produits laminés plats et des tôles nervurées)</v>
      </c>
      <c r="C1017">
        <v>456146557</v>
      </c>
      <c r="D1017">
        <v>913000</v>
      </c>
    </row>
    <row r="1018" spans="1:4" x14ac:dyDescent="0.25">
      <c r="A1018" t="str">
        <f>T("   721790")</f>
        <v xml:space="preserve">   721790</v>
      </c>
      <c r="B1018"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1018">
        <v>20137160</v>
      </c>
      <c r="D1018">
        <v>36000</v>
      </c>
    </row>
    <row r="1019" spans="1:4" x14ac:dyDescent="0.25">
      <c r="A1019" t="str">
        <f>T("   731700")</f>
        <v xml:space="preserve">   731700</v>
      </c>
      <c r="B1019"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1019">
        <v>555361572</v>
      </c>
      <c r="D1019">
        <v>952000</v>
      </c>
    </row>
    <row r="1020" spans="1:4" x14ac:dyDescent="0.25">
      <c r="A1020" t="str">
        <f>T("   870323")</f>
        <v xml:space="preserve">   870323</v>
      </c>
      <c r="B1020" t="s">
        <v>88</v>
      </c>
      <c r="C1020">
        <v>3957615</v>
      </c>
      <c r="D1020">
        <v>2300</v>
      </c>
    </row>
    <row r="1021" spans="1:4" x14ac:dyDescent="0.25">
      <c r="A1021" t="str">
        <f>T("   870421")</f>
        <v xml:space="preserve">   870421</v>
      </c>
      <c r="B1021" t="s">
        <v>93</v>
      </c>
      <c r="C1021">
        <v>6357615</v>
      </c>
      <c r="D1021">
        <v>5240</v>
      </c>
    </row>
    <row r="1022" spans="1:4" x14ac:dyDescent="0.25">
      <c r="A1022" t="str">
        <f>T("TG")</f>
        <v>TG</v>
      </c>
      <c r="B1022" t="str">
        <f>T("Togo")</f>
        <v>Togo</v>
      </c>
    </row>
    <row r="1023" spans="1:4" x14ac:dyDescent="0.25">
      <c r="A1023" t="str">
        <f>T("   ZZ_Total_Produit_SH6")</f>
        <v xml:space="preserve">   ZZ_Total_Produit_SH6</v>
      </c>
      <c r="B1023" t="str">
        <f>T("   ZZ_Total_Produit_SH6")</f>
        <v xml:space="preserve">   ZZ_Total_Produit_SH6</v>
      </c>
      <c r="C1023">
        <v>7076760900</v>
      </c>
      <c r="D1023">
        <v>124171644.43000001</v>
      </c>
    </row>
    <row r="1024" spans="1:4" x14ac:dyDescent="0.25">
      <c r="A1024" t="str">
        <f>T("   030379")</f>
        <v xml:space="preserve">   030379</v>
      </c>
      <c r="B1024" t="s">
        <v>13</v>
      </c>
      <c r="C1024">
        <v>81000771</v>
      </c>
      <c r="D1024">
        <v>265530</v>
      </c>
    </row>
    <row r="1025" spans="1:4" x14ac:dyDescent="0.25">
      <c r="A1025" t="str">
        <f>T("   110311")</f>
        <v xml:space="preserve">   110311</v>
      </c>
      <c r="B1025" t="str">
        <f>T("   Gruaux et semoules de froment [blé]")</f>
        <v xml:space="preserve">   Gruaux et semoules de froment [blé]</v>
      </c>
      <c r="C1025">
        <v>20594911</v>
      </c>
      <c r="D1025">
        <v>61460</v>
      </c>
    </row>
    <row r="1026" spans="1:4" x14ac:dyDescent="0.25">
      <c r="A1026" t="str">
        <f>T("   190230")</f>
        <v xml:space="preserve">   190230</v>
      </c>
      <c r="B1026" t="str">
        <f>T("   Pâtes alimentaires, cuites ou autrement préparées (à l'excl. des pâtes alimentaires farcies)")</f>
        <v xml:space="preserve">   Pâtes alimentaires, cuites ou autrement préparées (à l'excl. des pâtes alimentaires farcies)</v>
      </c>
      <c r="C1026">
        <v>47000000</v>
      </c>
      <c r="D1026">
        <v>100000</v>
      </c>
    </row>
    <row r="1027" spans="1:4" x14ac:dyDescent="0.25">
      <c r="A1027" t="str">
        <f>T("   190410")</f>
        <v xml:space="preserve">   190410</v>
      </c>
      <c r="B1027" t="str">
        <f>T("   PRODUITS À BASE DE CÉRÉALES OBTENUS PAR SOUFFLAGE OU GRILLAGE [CORN FLAKES, P.EX.]")</f>
        <v xml:space="preserve">   PRODUITS À BASE DE CÉRÉALES OBTENUS PAR SOUFFLAGE OU GRILLAGE [CORN FLAKES, P.EX.]</v>
      </c>
      <c r="C1027">
        <v>715000</v>
      </c>
      <c r="D1027">
        <v>700</v>
      </c>
    </row>
    <row r="1028" spans="1:4" x14ac:dyDescent="0.25">
      <c r="A1028" t="str">
        <f>T("   190590")</f>
        <v xml:space="preserve">   190590</v>
      </c>
      <c r="B1028" t="s">
        <v>20</v>
      </c>
      <c r="C1028">
        <v>3575000</v>
      </c>
      <c r="D1028">
        <v>3500</v>
      </c>
    </row>
    <row r="1029" spans="1:4" x14ac:dyDescent="0.25">
      <c r="A1029" t="str">
        <f>T("   200941")</f>
        <v xml:space="preserve">   200941</v>
      </c>
      <c r="B1029" t="str">
        <f>T("   JUS D'ANANAS, NON-FERMENTÉS, SANS ADDITION D'ALCOOL, AVEC OU SANS ADDITION DE SUCRE OU D'AUTRES ÉDULCORANTS, D'UNE VALEUR BRIX &lt;= 20 À 20°C")</f>
        <v xml:space="preserve">   JUS D'ANANAS, NON-FERMENTÉS, SANS ADDITION D'ALCOOL, AVEC OU SANS ADDITION DE SUCRE OU D'AUTRES ÉDULCORANTS, D'UNE VALEUR BRIX &lt;= 20 À 20°C</v>
      </c>
      <c r="C1029">
        <v>3191250</v>
      </c>
      <c r="D1029">
        <v>12000</v>
      </c>
    </row>
    <row r="1030" spans="1:4" x14ac:dyDescent="0.25">
      <c r="A1030" t="str">
        <f>T("   200949")</f>
        <v xml:space="preserve">   200949</v>
      </c>
      <c r="B1030"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1030">
        <v>350000</v>
      </c>
      <c r="D1030">
        <v>2800</v>
      </c>
    </row>
    <row r="1031" spans="1:4" x14ac:dyDescent="0.25">
      <c r="A1031" t="str">
        <f>T("   210690")</f>
        <v xml:space="preserve">   210690</v>
      </c>
      <c r="B1031" t="str">
        <f>T("   Préparations alimentaires, n.d.a.")</f>
        <v xml:space="preserve">   Préparations alimentaires, n.d.a.</v>
      </c>
      <c r="C1031">
        <v>47268352</v>
      </c>
      <c r="D1031">
        <v>1766</v>
      </c>
    </row>
    <row r="1032" spans="1:4" x14ac:dyDescent="0.25">
      <c r="A1032" t="str">
        <f>T("   220110")</f>
        <v xml:space="preserve">   220110</v>
      </c>
      <c r="B1032" t="str">
        <f>T("   Eaux minérales et eaux gazéifiées, non additionnées de sucre ou d'autres édulcorants ni aromatisées")</f>
        <v xml:space="preserve">   Eaux minérales et eaux gazéifiées, non additionnées de sucre ou d'autres édulcorants ni aromatisées</v>
      </c>
      <c r="C1032">
        <v>54012021</v>
      </c>
      <c r="D1032">
        <v>257134</v>
      </c>
    </row>
    <row r="1033" spans="1:4" x14ac:dyDescent="0.25">
      <c r="A1033" t="str">
        <f>T("   220210")</f>
        <v xml:space="preserve">   220210</v>
      </c>
      <c r="B1033"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033">
        <v>26087038</v>
      </c>
      <c r="D1033">
        <v>66355</v>
      </c>
    </row>
    <row r="1034" spans="1:4" x14ac:dyDescent="0.25">
      <c r="A1034" t="str">
        <f>T("   220290")</f>
        <v xml:space="preserve">   220290</v>
      </c>
      <c r="B1034" t="str">
        <f>T("   BOISSONS NON-ALCOOLIQUES (À L'EXCL. DES EAUX, DES JUS DE FRUITS OU DE LÉGUMES AINSI QUE DU LAIT)")</f>
        <v xml:space="preserve">   BOISSONS NON-ALCOOLIQUES (À L'EXCL. DES EAUX, DES JUS DE FRUITS OU DE LÉGUMES AINSI QUE DU LAIT)</v>
      </c>
      <c r="C1034">
        <v>3500000</v>
      </c>
      <c r="D1034">
        <v>9500</v>
      </c>
    </row>
    <row r="1035" spans="1:4" x14ac:dyDescent="0.25">
      <c r="A1035" t="str">
        <f>T("   230400")</f>
        <v xml:space="preserve">   230400</v>
      </c>
      <c r="B1035"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1035">
        <v>59406400</v>
      </c>
      <c r="D1035">
        <v>72020</v>
      </c>
    </row>
    <row r="1036" spans="1:4" x14ac:dyDescent="0.25">
      <c r="A1036" t="str">
        <f>T("   230610")</f>
        <v xml:space="preserve">   230610</v>
      </c>
      <c r="B1036"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1036">
        <v>163880300</v>
      </c>
      <c r="D1036">
        <v>1136924</v>
      </c>
    </row>
    <row r="1037" spans="1:4" x14ac:dyDescent="0.25">
      <c r="A1037" t="str">
        <f>T("   240220")</f>
        <v xml:space="preserve">   240220</v>
      </c>
      <c r="B1037" t="str">
        <f>T("   Cigarettes contenant du tabac")</f>
        <v xml:space="preserve">   Cigarettes contenant du tabac</v>
      </c>
      <c r="C1037">
        <v>302250000</v>
      </c>
      <c r="D1037">
        <v>23250</v>
      </c>
    </row>
    <row r="1038" spans="1:4" x14ac:dyDescent="0.25">
      <c r="A1038" t="str">
        <f>T("   251520")</f>
        <v xml:space="preserve">   251520</v>
      </c>
      <c r="B1038" t="s">
        <v>25</v>
      </c>
      <c r="C1038">
        <v>1264474540</v>
      </c>
      <c r="D1038">
        <v>117215000</v>
      </c>
    </row>
    <row r="1039" spans="1:4" x14ac:dyDescent="0.25">
      <c r="A1039" t="str">
        <f>T("   253090")</f>
        <v xml:space="preserve">   253090</v>
      </c>
      <c r="B1039" t="str">
        <f>T("   Sulfures d'arsenic, alunite, terre de pouzzolane, terres colorantes et autres matières minérales, n.d.a.")</f>
        <v xml:space="preserve">   Sulfures d'arsenic, alunite, terre de pouzzolane, terres colorantes et autres matières minérales, n.d.a.</v>
      </c>
      <c r="C1039">
        <v>1005000</v>
      </c>
      <c r="D1039">
        <v>200</v>
      </c>
    </row>
    <row r="1040" spans="1:4" x14ac:dyDescent="0.25">
      <c r="A1040" t="str">
        <f>T("   271019")</f>
        <v xml:space="preserve">   271019</v>
      </c>
      <c r="B1040" t="str">
        <f>T("   Huiles moyennes et préparations, de pétrole ou de minéraux bitumineux, n.d.a.")</f>
        <v xml:space="preserve">   Huiles moyennes et préparations, de pétrole ou de minéraux bitumineux, n.d.a.</v>
      </c>
      <c r="C1040">
        <v>3790090</v>
      </c>
      <c r="D1040">
        <v>1424</v>
      </c>
    </row>
    <row r="1041" spans="1:4" x14ac:dyDescent="0.25">
      <c r="A1041" t="str">
        <f>T("   300410")</f>
        <v xml:space="preserve">   300410</v>
      </c>
      <c r="B1041" t="s">
        <v>27</v>
      </c>
      <c r="C1041">
        <v>5196125</v>
      </c>
      <c r="D1041">
        <v>14191.75</v>
      </c>
    </row>
    <row r="1042" spans="1:4" x14ac:dyDescent="0.25">
      <c r="A1042" t="str">
        <f>T("   300420")</f>
        <v xml:space="preserve">   300420</v>
      </c>
      <c r="B1042" t="s">
        <v>28</v>
      </c>
      <c r="C1042">
        <v>4357000</v>
      </c>
      <c r="D1042">
        <v>423</v>
      </c>
    </row>
    <row r="1043" spans="1:4" x14ac:dyDescent="0.25">
      <c r="A1043" t="str">
        <f>T("   300490")</f>
        <v xml:space="preserve">   300490</v>
      </c>
      <c r="B1043" t="s">
        <v>29</v>
      </c>
      <c r="C1043">
        <v>178790216</v>
      </c>
      <c r="D1043">
        <v>30566.5</v>
      </c>
    </row>
    <row r="1044" spans="1:4" x14ac:dyDescent="0.25">
      <c r="A1044" t="str">
        <f>T("   300590")</f>
        <v xml:space="preserve">   300590</v>
      </c>
      <c r="B1044" t="s">
        <v>30</v>
      </c>
      <c r="C1044">
        <v>3085000</v>
      </c>
      <c r="D1044">
        <v>2450</v>
      </c>
    </row>
    <row r="1045" spans="1:4" x14ac:dyDescent="0.25">
      <c r="A1045" t="str">
        <f>T("   320820")</f>
        <v xml:space="preserve">   320820</v>
      </c>
      <c r="B1045" t="s">
        <v>31</v>
      </c>
      <c r="C1045">
        <v>35081156</v>
      </c>
      <c r="D1045">
        <v>18482</v>
      </c>
    </row>
    <row r="1046" spans="1:4" x14ac:dyDescent="0.25">
      <c r="A1046" t="str">
        <f>T("   320890")</f>
        <v xml:space="preserve">   320890</v>
      </c>
      <c r="B1046" t="s">
        <v>32</v>
      </c>
      <c r="C1046">
        <v>95910028</v>
      </c>
      <c r="D1046">
        <v>38499</v>
      </c>
    </row>
    <row r="1047" spans="1:4" x14ac:dyDescent="0.25">
      <c r="A1047" t="str">
        <f>T("   320910")</f>
        <v xml:space="preserve">   320910</v>
      </c>
      <c r="B1047" t="str">
        <f>T("   Peintures et vernis à base de polymères acryliques ou vinyliques, dispersés ou dissous dans un milieu aqueux")</f>
        <v xml:space="preserve">   Peintures et vernis à base de polymères acryliques ou vinyliques, dispersés ou dissous dans un milieu aqueux</v>
      </c>
      <c r="C1047">
        <v>309800808</v>
      </c>
      <c r="D1047">
        <v>538064</v>
      </c>
    </row>
    <row r="1048" spans="1:4" x14ac:dyDescent="0.25">
      <c r="A1048" t="str">
        <f>T("   320990")</f>
        <v xml:space="preserve">   320990</v>
      </c>
      <c r="B1048"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1048">
        <v>141318770</v>
      </c>
      <c r="D1048">
        <v>363387</v>
      </c>
    </row>
    <row r="1049" spans="1:4" x14ac:dyDescent="0.25">
      <c r="A1049" t="str">
        <f>T("   321000")</f>
        <v xml:space="preserve">   321000</v>
      </c>
      <c r="B1049"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1049">
        <v>2234218</v>
      </c>
      <c r="D1049">
        <v>6340</v>
      </c>
    </row>
    <row r="1050" spans="1:4" x14ac:dyDescent="0.25">
      <c r="A1050" t="str">
        <f>T("   380850")</f>
        <v xml:space="preserve">   380850</v>
      </c>
      <c r="B1050" t="s">
        <v>38</v>
      </c>
      <c r="C1050">
        <v>21000000</v>
      </c>
      <c r="D1050">
        <v>78000</v>
      </c>
    </row>
    <row r="1051" spans="1:4" x14ac:dyDescent="0.25">
      <c r="A1051" t="str">
        <f>T("   390120")</f>
        <v xml:space="preserve">   390120</v>
      </c>
      <c r="B1051" t="str">
        <f>T("   Polyéthylène d'une densité &gt;= 0,94, sous formes primaires")</f>
        <v xml:space="preserve">   Polyéthylène d'une densité &gt;= 0,94, sous formes primaires</v>
      </c>
      <c r="C1051">
        <v>25243289</v>
      </c>
      <c r="D1051">
        <v>34204</v>
      </c>
    </row>
    <row r="1052" spans="1:4" x14ac:dyDescent="0.25">
      <c r="A1052" t="str">
        <f>T("   391590")</f>
        <v xml:space="preserve">   391590</v>
      </c>
      <c r="B1052" t="str">
        <f>T("   Déchets, rognures et débris de matières plastiques (à l'excl. des déchets, rognures et débris de polymères de l'éthylène, du styrène ou du chlorure de vinyle)")</f>
        <v xml:space="preserve">   Déchets, rognures et débris de matières plastiques (à l'excl. des déchets, rognures et débris de polymères de l'éthylène, du styrène ou du chlorure de vinyle)</v>
      </c>
      <c r="C1052">
        <v>10323750</v>
      </c>
      <c r="D1052">
        <v>412950</v>
      </c>
    </row>
    <row r="1053" spans="1:4" x14ac:dyDescent="0.25">
      <c r="A1053" t="str">
        <f>T("   391721")</f>
        <v xml:space="preserve">   391721</v>
      </c>
      <c r="B1053" t="str">
        <f>T("   TUBES ET TUYAUX RIGIDES, EN POLYMÈRES DE L'ÉTHYLÈNE")</f>
        <v xml:space="preserve">   TUBES ET TUYAUX RIGIDES, EN POLYMÈRES DE L'ÉTHYLÈNE</v>
      </c>
      <c r="C1053">
        <v>26003200</v>
      </c>
      <c r="D1053">
        <v>34000</v>
      </c>
    </row>
    <row r="1054" spans="1:4" x14ac:dyDescent="0.25">
      <c r="A1054" t="str">
        <f>T("   391723")</f>
        <v xml:space="preserve">   391723</v>
      </c>
      <c r="B1054" t="str">
        <f>T("   TUBES ET TUYAUX RIGIDES, EN POLYMÈRES DU CHLORURE DE VINYLE")</f>
        <v xml:space="preserve">   TUBES ET TUYAUX RIGIDES, EN POLYMÈRES DU CHLORURE DE VINYLE</v>
      </c>
      <c r="C1054">
        <v>82193070</v>
      </c>
      <c r="D1054">
        <v>107161.75</v>
      </c>
    </row>
    <row r="1055" spans="1:4" x14ac:dyDescent="0.25">
      <c r="A1055" t="str">
        <f>T("   391729")</f>
        <v xml:space="preserve">   391729</v>
      </c>
      <c r="B1055"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1055">
        <v>2156404</v>
      </c>
      <c r="D1055">
        <v>1395.23</v>
      </c>
    </row>
    <row r="1056" spans="1:4" x14ac:dyDescent="0.25">
      <c r="A1056" t="str">
        <f>T("   391739")</f>
        <v xml:space="preserve">   391739</v>
      </c>
      <c r="B1056"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1056">
        <v>81799841</v>
      </c>
      <c r="D1056">
        <v>45135.5</v>
      </c>
    </row>
    <row r="1057" spans="1:4" x14ac:dyDescent="0.25">
      <c r="A1057" t="str">
        <f>T("   392020")</f>
        <v xml:space="preserve">   392020</v>
      </c>
      <c r="B1057" t="s">
        <v>39</v>
      </c>
      <c r="C1057">
        <v>9381023</v>
      </c>
      <c r="D1057">
        <v>4970</v>
      </c>
    </row>
    <row r="1058" spans="1:4" x14ac:dyDescent="0.25">
      <c r="A1058" t="str">
        <f>T("   392310")</f>
        <v xml:space="preserve">   392310</v>
      </c>
      <c r="B1058" t="str">
        <f>T("   Boîtes, caisses, casiers et articles simil. pour le transport ou l'emballage, en matières plastiques")</f>
        <v xml:space="preserve">   Boîtes, caisses, casiers et articles simil. pour le transport ou l'emballage, en matières plastiques</v>
      </c>
      <c r="C1058">
        <v>15678000</v>
      </c>
      <c r="D1058">
        <v>13065</v>
      </c>
    </row>
    <row r="1059" spans="1:4" x14ac:dyDescent="0.25">
      <c r="A1059" t="str">
        <f>T("   392329")</f>
        <v xml:space="preserve">   392329</v>
      </c>
      <c r="B1059" t="str">
        <f>T("   Sacs, sachets, pochettes et cornets, en matières plastiques (autres que les polymères de l'éthylène)")</f>
        <v xml:space="preserve">   Sacs, sachets, pochettes et cornets, en matières plastiques (autres que les polymères de l'éthylène)</v>
      </c>
      <c r="C1059">
        <v>8987000</v>
      </c>
      <c r="D1059">
        <v>7000</v>
      </c>
    </row>
    <row r="1060" spans="1:4" x14ac:dyDescent="0.25">
      <c r="A1060" t="str">
        <f>T("   392690")</f>
        <v xml:space="preserve">   392690</v>
      </c>
      <c r="B1060" t="str">
        <f>T("   Ouvrages en matières plastiques et ouvrages en autres matières du n° 3901 à 3914, n.d.a.")</f>
        <v xml:space="preserve">   Ouvrages en matières plastiques et ouvrages en autres matières du n° 3901 à 3914, n.d.a.</v>
      </c>
      <c r="C1060">
        <v>543200</v>
      </c>
      <c r="D1060">
        <v>200</v>
      </c>
    </row>
    <row r="1061" spans="1:4" x14ac:dyDescent="0.25">
      <c r="A1061" t="str">
        <f>T("   401019")</f>
        <v xml:space="preserve">   401019</v>
      </c>
      <c r="B1061"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1061">
        <v>16224750</v>
      </c>
      <c r="D1061">
        <v>7860</v>
      </c>
    </row>
    <row r="1062" spans="1:4" x14ac:dyDescent="0.25">
      <c r="A1062" t="str">
        <f>T("   481910")</f>
        <v xml:space="preserve">   481910</v>
      </c>
      <c r="B1062" t="str">
        <f>T("   Boîtes et caisses en papier ou en carton ondulé")</f>
        <v xml:space="preserve">   Boîtes et caisses en papier ou en carton ondulé</v>
      </c>
      <c r="C1062">
        <v>1199929</v>
      </c>
      <c r="D1062">
        <v>1230</v>
      </c>
    </row>
    <row r="1063" spans="1:4" x14ac:dyDescent="0.25">
      <c r="A1063" t="str">
        <f>T("   481960")</f>
        <v xml:space="preserve">   481960</v>
      </c>
      <c r="B1063" t="str">
        <f>T("   Cartonnages de bureau, de magasin ou simil., rigides (à l'excl. des emballages)")</f>
        <v xml:space="preserve">   Cartonnages de bureau, de magasin ou simil., rigides (à l'excl. des emballages)</v>
      </c>
      <c r="C1063">
        <v>6819257</v>
      </c>
      <c r="D1063">
        <v>10000</v>
      </c>
    </row>
    <row r="1064" spans="1:4" x14ac:dyDescent="0.25">
      <c r="A1064" t="str">
        <f>T("   482020")</f>
        <v xml:space="preserve">   482020</v>
      </c>
      <c r="B1064" t="str">
        <f>T("   Cahiers pour l'écriture, en papier ou carton")</f>
        <v xml:space="preserve">   Cahiers pour l'écriture, en papier ou carton</v>
      </c>
      <c r="C1064">
        <v>15100800</v>
      </c>
      <c r="D1064">
        <v>17953.7</v>
      </c>
    </row>
    <row r="1065" spans="1:4" x14ac:dyDescent="0.25">
      <c r="A1065" t="str">
        <f>T("   520812")</f>
        <v xml:space="preserve">   520812</v>
      </c>
      <c r="B1065" t="str">
        <f>T("   Tissus de coton, écrus, à armure toile, contenant &gt;= 85% en poids de coton, d'un poids &gt; 100 g/m² mais &lt;= 200 g/m²")</f>
        <v xml:space="preserve">   Tissus de coton, écrus, à armure toile, contenant &gt;= 85% en poids de coton, d'un poids &gt; 100 g/m² mais &lt;= 200 g/m²</v>
      </c>
      <c r="C1065">
        <v>116532272</v>
      </c>
      <c r="D1065">
        <v>30579</v>
      </c>
    </row>
    <row r="1066" spans="1:4" x14ac:dyDescent="0.25">
      <c r="A1066" t="str">
        <f>T("   620590")</f>
        <v xml:space="preserve">   620590</v>
      </c>
      <c r="B106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66">
        <v>1000000</v>
      </c>
      <c r="D1066">
        <v>1300</v>
      </c>
    </row>
    <row r="1067" spans="1:4" x14ac:dyDescent="0.25">
      <c r="A1067" t="str">
        <f>T("   630649")</f>
        <v xml:space="preserve">   630649</v>
      </c>
      <c r="B1067" t="str">
        <f>T("   Matelas pneumatiques de matières textiles (autres que de coton)")</f>
        <v xml:space="preserve">   Matelas pneumatiques de matières textiles (autres que de coton)</v>
      </c>
      <c r="C1067">
        <v>665000</v>
      </c>
      <c r="D1067">
        <v>835</v>
      </c>
    </row>
    <row r="1068" spans="1:4" x14ac:dyDescent="0.25">
      <c r="A1068" t="str">
        <f>T("   681019")</f>
        <v xml:space="preserve">   681019</v>
      </c>
      <c r="B1068"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1068">
        <v>125461850</v>
      </c>
      <c r="D1068">
        <v>1360609</v>
      </c>
    </row>
    <row r="1069" spans="1:4" x14ac:dyDescent="0.25">
      <c r="A1069" t="str">
        <f>T("   720839")</f>
        <v xml:space="preserve">   720839</v>
      </c>
      <c r="B1069"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1069">
        <v>216443843</v>
      </c>
      <c r="D1069">
        <v>518882</v>
      </c>
    </row>
    <row r="1070" spans="1:4" x14ac:dyDescent="0.25">
      <c r="A1070" t="str">
        <f>T("   730300")</f>
        <v xml:space="preserve">   730300</v>
      </c>
      <c r="B1070" t="str">
        <f>T("   Tubes, tuyaux et profilés creux, en fonte")</f>
        <v xml:space="preserve">   Tubes, tuyaux et profilés creux, en fonte</v>
      </c>
      <c r="C1070">
        <v>1150000</v>
      </c>
      <c r="D1070">
        <v>2000</v>
      </c>
    </row>
    <row r="1071" spans="1:4" x14ac:dyDescent="0.25">
      <c r="A1071" t="str">
        <f>T("   730840")</f>
        <v xml:space="preserve">   730840</v>
      </c>
      <c r="B1071"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1071">
        <v>720000</v>
      </c>
      <c r="D1071">
        <v>4800</v>
      </c>
    </row>
    <row r="1072" spans="1:4" x14ac:dyDescent="0.25">
      <c r="A1072" t="str">
        <f>T("   731021")</f>
        <v xml:space="preserve">   731021</v>
      </c>
      <c r="B1072"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1072">
        <v>1788940</v>
      </c>
      <c r="D1072">
        <v>6000</v>
      </c>
    </row>
    <row r="1073" spans="1:4" x14ac:dyDescent="0.25">
      <c r="A1073" t="str">
        <f>T("   731816")</f>
        <v xml:space="preserve">   731816</v>
      </c>
      <c r="B1073" t="str">
        <f>T("   ÉCROUS EN FONTE, FER OU ACIER")</f>
        <v xml:space="preserve">   ÉCROUS EN FONTE, FER OU ACIER</v>
      </c>
      <c r="C1073">
        <v>4459047</v>
      </c>
      <c r="D1073">
        <v>11000</v>
      </c>
    </row>
    <row r="1074" spans="1:4" x14ac:dyDescent="0.25">
      <c r="A1074" t="str">
        <f>T("   732394")</f>
        <v xml:space="preserve">   732394</v>
      </c>
      <c r="B1074" t="s">
        <v>67</v>
      </c>
      <c r="C1074">
        <v>500000</v>
      </c>
      <c r="D1074">
        <v>700</v>
      </c>
    </row>
    <row r="1075" spans="1:4" x14ac:dyDescent="0.25">
      <c r="A1075" t="str">
        <f>T("   741521")</f>
        <v xml:space="preserve">   741521</v>
      </c>
      <c r="B1075" t="str">
        <f>T("   Rondelles, y.c. -les rondelles destinées à faire ressort-, en cuivre")</f>
        <v xml:space="preserve">   Rondelles, y.c. -les rondelles destinées à faire ressort-, en cuivre</v>
      </c>
      <c r="C1075">
        <v>615400</v>
      </c>
      <c r="D1075">
        <v>2000</v>
      </c>
    </row>
    <row r="1076" spans="1:4" x14ac:dyDescent="0.25">
      <c r="A1076" t="str">
        <f>T("   830910")</f>
        <v xml:space="preserve">   830910</v>
      </c>
      <c r="B1076" t="str">
        <f>T("   Bouchons-couronnes en métaux communs")</f>
        <v xml:space="preserve">   Bouchons-couronnes en métaux communs</v>
      </c>
      <c r="C1076">
        <v>3354120</v>
      </c>
      <c r="D1076">
        <v>1483</v>
      </c>
    </row>
    <row r="1077" spans="1:4" x14ac:dyDescent="0.25">
      <c r="A1077" t="str">
        <f>T("   841440")</f>
        <v xml:space="preserve">   841440</v>
      </c>
      <c r="B1077" t="str">
        <f>T("   Compresseurs d'air montés sur châssis à roues et remorquables")</f>
        <v xml:space="preserve">   Compresseurs d'air montés sur châssis à roues et remorquables</v>
      </c>
      <c r="C1077">
        <v>14242926</v>
      </c>
      <c r="D1077">
        <v>2063</v>
      </c>
    </row>
    <row r="1078" spans="1:4" x14ac:dyDescent="0.25">
      <c r="A1078" t="str">
        <f>T("   841829")</f>
        <v xml:space="preserve">   841829</v>
      </c>
      <c r="B1078" t="str">
        <f>T("   Réfrigérateurs ménagers à absorption, non-électriques")</f>
        <v xml:space="preserve">   Réfrigérateurs ménagers à absorption, non-électriques</v>
      </c>
      <c r="C1078">
        <v>154555161</v>
      </c>
      <c r="D1078">
        <v>52500</v>
      </c>
    </row>
    <row r="1079" spans="1:4" x14ac:dyDescent="0.25">
      <c r="A1079" t="str">
        <f>T("   842620")</f>
        <v xml:space="preserve">   842620</v>
      </c>
      <c r="B1079" t="str">
        <f>T("   Grues à tour")</f>
        <v xml:space="preserve">   Grues à tour</v>
      </c>
      <c r="C1079">
        <v>9925748</v>
      </c>
      <c r="D1079">
        <v>32000</v>
      </c>
    </row>
    <row r="1080" spans="1:4" x14ac:dyDescent="0.25">
      <c r="A1080" t="str">
        <f>T("   842649")</f>
        <v xml:space="preserve">   842649</v>
      </c>
      <c r="B1080" t="str">
        <f>T("   Bigues et chariots-grues et appareils autopropulsés (autres que sur pneumatiques et sauf chariots-cavaliers)")</f>
        <v xml:space="preserve">   Bigues et chariots-grues et appareils autopropulsés (autres que sur pneumatiques et sauf chariots-cavaliers)</v>
      </c>
      <c r="C1080">
        <v>303100048</v>
      </c>
      <c r="D1080">
        <v>97359</v>
      </c>
    </row>
    <row r="1081" spans="1:4" x14ac:dyDescent="0.25">
      <c r="A1081" t="str">
        <f>T("   842790")</f>
        <v xml:space="preserve">   842790</v>
      </c>
      <c r="B1081" t="str">
        <f>T("   Chariots de manutention munis d'un dispositif de levage mais non autopropulsés")</f>
        <v xml:space="preserve">   Chariots de manutention munis d'un dispositif de levage mais non autopropulsés</v>
      </c>
      <c r="C1081">
        <v>11773827</v>
      </c>
      <c r="D1081">
        <v>7200</v>
      </c>
    </row>
    <row r="1082" spans="1:4" x14ac:dyDescent="0.25">
      <c r="A1082" t="str">
        <f>T("   842839")</f>
        <v xml:space="preserve">   842839</v>
      </c>
      <c r="B1082"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1082">
        <v>2000000</v>
      </c>
      <c r="D1082">
        <v>7000</v>
      </c>
    </row>
    <row r="1083" spans="1:4" x14ac:dyDescent="0.25">
      <c r="A1083" t="str">
        <f>T("   842911")</f>
        <v xml:space="preserve">   842911</v>
      </c>
      <c r="B1083" t="str">
        <f>T("   Bouteurs 'bulldozers' et bouteurs biais 'angledozers', à chenilles")</f>
        <v xml:space="preserve">   Bouteurs 'bulldozers' et bouteurs biais 'angledozers', à chenilles</v>
      </c>
      <c r="C1083">
        <v>380337224</v>
      </c>
      <c r="D1083">
        <v>19040</v>
      </c>
    </row>
    <row r="1084" spans="1:4" x14ac:dyDescent="0.25">
      <c r="A1084" t="str">
        <f>T("   842919")</f>
        <v xml:space="preserve">   842919</v>
      </c>
      <c r="B1084" t="str">
        <f>T("   Bouteurs 'bulldozers' et bouteurs biais 'angledozers', sur roues")</f>
        <v xml:space="preserve">   Bouteurs 'bulldozers' et bouteurs biais 'angledozers', sur roues</v>
      </c>
      <c r="C1084">
        <v>206360175</v>
      </c>
      <c r="D1084">
        <v>35873</v>
      </c>
    </row>
    <row r="1085" spans="1:4" x14ac:dyDescent="0.25">
      <c r="A1085" t="str">
        <f>T("   842920")</f>
        <v xml:space="preserve">   842920</v>
      </c>
      <c r="B1085" t="str">
        <f>T("   Niveleuses autopropulsées")</f>
        <v xml:space="preserve">   Niveleuses autopropulsées</v>
      </c>
      <c r="C1085">
        <v>308500710</v>
      </c>
      <c r="D1085">
        <v>72329</v>
      </c>
    </row>
    <row r="1086" spans="1:4" x14ac:dyDescent="0.25">
      <c r="A1086" t="str">
        <f>T("   842940")</f>
        <v xml:space="preserve">   842940</v>
      </c>
      <c r="B1086" t="str">
        <f>T("   Rouleaux compresseurs et autres compacteuses, autopropulsés")</f>
        <v xml:space="preserve">   Rouleaux compresseurs et autres compacteuses, autopropulsés</v>
      </c>
      <c r="C1086">
        <v>121352813</v>
      </c>
      <c r="D1086">
        <v>88661</v>
      </c>
    </row>
    <row r="1087" spans="1:4" x14ac:dyDescent="0.25">
      <c r="A1087" t="str">
        <f>T("   842951")</f>
        <v xml:space="preserve">   842951</v>
      </c>
      <c r="B1087" t="str">
        <f>T("   Chargeuses et chargeuses-pelleteuses, à chargement frontal, autopropulsées")</f>
        <v xml:space="preserve">   Chargeuses et chargeuses-pelleteuses, à chargement frontal, autopropulsées</v>
      </c>
      <c r="C1087">
        <v>284476770</v>
      </c>
      <c r="D1087">
        <v>95966</v>
      </c>
    </row>
    <row r="1088" spans="1:4" x14ac:dyDescent="0.25">
      <c r="A1088" t="str">
        <f>T("   842959")</f>
        <v xml:space="preserve">   842959</v>
      </c>
      <c r="B1088"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088">
        <v>371232689</v>
      </c>
      <c r="D1088">
        <v>195142</v>
      </c>
    </row>
    <row r="1089" spans="1:4" x14ac:dyDescent="0.25">
      <c r="A1089" t="str">
        <f>T("   843050")</f>
        <v xml:space="preserve">   843050</v>
      </c>
      <c r="B1089" t="str">
        <f>T("   Machines et appareils de terrassement, nivellement, décapage, excavation, compactage, extraction ou forage de la terre, des minéraux ou des minerais, autopropulsés, n.d.a.")</f>
        <v xml:space="preserve">   Machines et appareils de terrassement, nivellement, décapage, excavation, compactage, extraction ou forage de la terre, des minéraux ou des minerais, autopropulsés, n.d.a.</v>
      </c>
      <c r="C1089">
        <v>19425320</v>
      </c>
      <c r="D1089">
        <v>9600</v>
      </c>
    </row>
    <row r="1090" spans="1:4" x14ac:dyDescent="0.25">
      <c r="A1090" t="str">
        <f>T("   843141")</f>
        <v xml:space="preserve">   843141</v>
      </c>
      <c r="B1090" t="str">
        <f>T("   Godets, bennes, bennes-preneuses, pelles, grappins et pinces pour machines et appareils du n° 8426, 8429 ou 8430")</f>
        <v xml:space="preserve">   Godets, bennes, bennes-preneuses, pelles, grappins et pinces pour machines et appareils du n° 8426, 8429 ou 8430</v>
      </c>
      <c r="C1090">
        <v>1063311</v>
      </c>
      <c r="D1090">
        <v>450</v>
      </c>
    </row>
    <row r="1091" spans="1:4" x14ac:dyDescent="0.25">
      <c r="A1091" t="str">
        <f>T("   843149")</f>
        <v xml:space="preserve">   843149</v>
      </c>
      <c r="B1091" t="str">
        <f>T("   Parties de machines et appareils du n° 8426, 8429 ou 8430, n.d.a.")</f>
        <v xml:space="preserve">   Parties de machines et appareils du n° 8426, 8429 ou 8430, n.d.a.</v>
      </c>
      <c r="C1091">
        <v>503613729</v>
      </c>
      <c r="D1091">
        <v>57000</v>
      </c>
    </row>
    <row r="1092" spans="1:4" x14ac:dyDescent="0.25">
      <c r="A1092" t="str">
        <f>T("   843880")</f>
        <v xml:space="preserve">   843880</v>
      </c>
      <c r="B1092" t="str">
        <f>T("   Machines et appareils pour la préparation ou la fabrication industrielles d'aliments ou de boissons, n.d.a.")</f>
        <v xml:space="preserve">   Machines et appareils pour la préparation ou la fabrication industrielles d'aliments ou de boissons, n.d.a.</v>
      </c>
      <c r="C1092">
        <v>21570750</v>
      </c>
      <c r="D1092">
        <v>62000</v>
      </c>
    </row>
    <row r="1093" spans="1:4" x14ac:dyDescent="0.25">
      <c r="A1093" t="str">
        <f>T("   846029")</f>
        <v xml:space="preserve">   846029</v>
      </c>
      <c r="B1093" t="str">
        <f>T("   Machines à rectifier, dont le positionnement dans un des axes peut être réglé à au moins 0,01 mm près, pour le travail des métaux (autres qu'à commande numérique, autres que les surfaces planes et sauf machines à finir les engrenages)")</f>
        <v xml:space="preserve">   Machines à rectifier, dont le positionnement dans un des axes peut être réglé à au moins 0,01 mm près, pour le travail des métaux (autres qu'à commande numérique, autres que les surfaces planes et sauf machines à finir les engrenages)</v>
      </c>
      <c r="C1093">
        <v>2000000</v>
      </c>
      <c r="D1093">
        <v>3000</v>
      </c>
    </row>
    <row r="1094" spans="1:4" x14ac:dyDescent="0.25">
      <c r="A1094" t="str">
        <f>T("   847410")</f>
        <v xml:space="preserve">   847410</v>
      </c>
      <c r="B1094" t="str">
        <f>T("   Machines et appareils à trier, cribler, séparer ou laver les matières minérales solides, y.c. -les poudres et les pâtes- (à l'excl. des centrifugeuses et des filtres-presses)")</f>
        <v xml:space="preserve">   Machines et appareils à trier, cribler, séparer ou laver les matières minérales solides, y.c. -les poudres et les pâtes- (à l'excl. des centrifugeuses et des filtres-presses)</v>
      </c>
      <c r="C1094">
        <v>3000000</v>
      </c>
      <c r="D1094">
        <v>7000</v>
      </c>
    </row>
    <row r="1095" spans="1:4" x14ac:dyDescent="0.25">
      <c r="A1095" t="str">
        <f>T("   847431")</f>
        <v xml:space="preserve">   847431</v>
      </c>
      <c r="B1095"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1095">
        <v>188834867</v>
      </c>
      <c r="D1095">
        <v>48896</v>
      </c>
    </row>
    <row r="1096" spans="1:4" x14ac:dyDescent="0.25">
      <c r="A1096" t="str">
        <f>T("   847439")</f>
        <v xml:space="preserve">   847439</v>
      </c>
      <c r="B1096"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1096">
        <v>43489025</v>
      </c>
      <c r="D1096">
        <v>26806</v>
      </c>
    </row>
    <row r="1097" spans="1:4" x14ac:dyDescent="0.25">
      <c r="A1097" t="str">
        <f>T("   847910")</f>
        <v xml:space="preserve">   847910</v>
      </c>
      <c r="B1097" t="str">
        <f>T("   Machines et appareils pour les travaux publics, le bâtiment ou les travaux analogues, n.d.a.")</f>
        <v xml:space="preserve">   Machines et appareils pour les travaux publics, le bâtiment ou les travaux analogues, n.d.a.</v>
      </c>
      <c r="C1097">
        <v>98173175</v>
      </c>
      <c r="D1097">
        <v>70100</v>
      </c>
    </row>
    <row r="1098" spans="1:4" x14ac:dyDescent="0.25">
      <c r="A1098" t="str">
        <f>T("   847982")</f>
        <v xml:space="preserve">   847982</v>
      </c>
      <c r="B1098"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1098">
        <v>33546658</v>
      </c>
      <c r="D1098">
        <v>20150</v>
      </c>
    </row>
    <row r="1099" spans="1:4" x14ac:dyDescent="0.25">
      <c r="A1099" t="str">
        <f>T("   850133")</f>
        <v xml:space="preserve">   850133</v>
      </c>
      <c r="B1099" t="str">
        <f>T("   Moteurs et génératrices à courant continu, puissance &gt; 75 kW mais &lt;= 375 kW")</f>
        <v xml:space="preserve">   Moteurs et génératrices à courant continu, puissance &gt; 75 kW mais &lt;= 375 kW</v>
      </c>
      <c r="C1099">
        <v>4032720</v>
      </c>
      <c r="D1099">
        <v>600</v>
      </c>
    </row>
    <row r="1100" spans="1:4" x14ac:dyDescent="0.25">
      <c r="A1100" t="str">
        <f>T("   850152")</f>
        <v xml:space="preserve">   850152</v>
      </c>
      <c r="B1100" t="str">
        <f>T("   Moteurs à courant alternatif, polyphasés, puissance &gt; 750 W mais &lt;= 75 kW")</f>
        <v xml:space="preserve">   Moteurs à courant alternatif, polyphasés, puissance &gt; 750 W mais &lt;= 75 kW</v>
      </c>
      <c r="C1100">
        <v>4867468</v>
      </c>
      <c r="D1100">
        <v>960</v>
      </c>
    </row>
    <row r="1101" spans="1:4" x14ac:dyDescent="0.25">
      <c r="A1101" t="str">
        <f>T("   850161")</f>
        <v xml:space="preserve">   850161</v>
      </c>
      <c r="B1101" t="str">
        <f>T("   Alternateurs, puissance &lt;= 75 kVA")</f>
        <v xml:space="preserve">   Alternateurs, puissance &lt;= 75 kVA</v>
      </c>
      <c r="C1101">
        <v>25650647</v>
      </c>
      <c r="D1101">
        <v>3388</v>
      </c>
    </row>
    <row r="1102" spans="1:4" x14ac:dyDescent="0.25">
      <c r="A1102" t="str">
        <f>T("   850162")</f>
        <v xml:space="preserve">   850162</v>
      </c>
      <c r="B1102" t="str">
        <f>T("   Alternateurs, puissance &gt; 75 kVA mais &lt;= 375 kVA")</f>
        <v xml:space="preserve">   Alternateurs, puissance &gt; 75 kVA mais &lt;= 375 kVA</v>
      </c>
      <c r="C1102">
        <v>54753461</v>
      </c>
      <c r="D1102">
        <v>7535</v>
      </c>
    </row>
    <row r="1103" spans="1:4" x14ac:dyDescent="0.25">
      <c r="A1103" t="str">
        <f>T("   850211")</f>
        <v xml:space="preserve">   850211</v>
      </c>
      <c r="B1103" t="s">
        <v>81</v>
      </c>
      <c r="C1103">
        <v>25991614</v>
      </c>
      <c r="D1103">
        <v>9099</v>
      </c>
    </row>
    <row r="1104" spans="1:4" x14ac:dyDescent="0.25">
      <c r="A1104" t="str">
        <f>T("   850212")</f>
        <v xml:space="preserve">   850212</v>
      </c>
      <c r="B1104"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1104">
        <v>14825720</v>
      </c>
      <c r="D1104">
        <v>4550</v>
      </c>
    </row>
    <row r="1105" spans="1:4" x14ac:dyDescent="0.25">
      <c r="A1105" t="str">
        <f>T("   850690")</f>
        <v xml:space="preserve">   850690</v>
      </c>
      <c r="B1105" t="str">
        <f>T("   Parties de piles et batteries de piles électriques n.d.a.")</f>
        <v xml:space="preserve">   Parties de piles et batteries de piles électriques n.d.a.</v>
      </c>
      <c r="C1105">
        <v>1000000</v>
      </c>
      <c r="D1105">
        <v>50000</v>
      </c>
    </row>
    <row r="1106" spans="1:4" x14ac:dyDescent="0.25">
      <c r="A1106" t="str">
        <f>T("   870190")</f>
        <v xml:space="preserve">   870190</v>
      </c>
      <c r="B1106"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1106">
        <v>35181391</v>
      </c>
      <c r="D1106">
        <v>14472</v>
      </c>
    </row>
    <row r="1107" spans="1:4" x14ac:dyDescent="0.25">
      <c r="A1107" t="str">
        <f>T("   870421")</f>
        <v xml:space="preserve">   870421</v>
      </c>
      <c r="B1107" t="s">
        <v>93</v>
      </c>
      <c r="C1107">
        <v>18375000</v>
      </c>
      <c r="D1107">
        <v>2000</v>
      </c>
    </row>
    <row r="1108" spans="1:4" x14ac:dyDescent="0.25">
      <c r="A1108" t="str">
        <f>T("   870540")</f>
        <v xml:space="preserve">   870540</v>
      </c>
      <c r="B1108" t="str">
        <f>T("   Camions-bétonnières")</f>
        <v xml:space="preserve">   Camions-bétonnières</v>
      </c>
      <c r="C1108">
        <v>40687886</v>
      </c>
      <c r="D1108">
        <v>13500</v>
      </c>
    </row>
    <row r="1109" spans="1:4" x14ac:dyDescent="0.25">
      <c r="A1109" t="str">
        <f>T("   870590")</f>
        <v xml:space="preserve">   870590</v>
      </c>
      <c r="B1109" t="s">
        <v>97</v>
      </c>
      <c r="C1109">
        <v>9669006</v>
      </c>
      <c r="D1109">
        <v>15694</v>
      </c>
    </row>
    <row r="1110" spans="1:4" x14ac:dyDescent="0.25">
      <c r="A1110" t="str">
        <f>T("   870870")</f>
        <v xml:space="preserve">   870870</v>
      </c>
      <c r="B1110"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1110">
        <v>1780932</v>
      </c>
      <c r="D1110">
        <v>202</v>
      </c>
    </row>
    <row r="1111" spans="1:4" x14ac:dyDescent="0.25">
      <c r="A1111" t="str">
        <f>T("   940180")</f>
        <v xml:space="preserve">   940180</v>
      </c>
      <c r="B1111" t="str">
        <f>T("   Sièges, n.d.a.")</f>
        <v xml:space="preserve">   Sièges, n.d.a.</v>
      </c>
      <c r="C1111">
        <v>14152900</v>
      </c>
      <c r="D1111">
        <v>10730</v>
      </c>
    </row>
    <row r="1112" spans="1:4" x14ac:dyDescent="0.25">
      <c r="A1112" t="str">
        <f>T("   940350")</f>
        <v xml:space="preserve">   940350</v>
      </c>
      <c r="B1112" t="str">
        <f>T("   Meubles pour chambres à coucher, en bois (sauf sièges)")</f>
        <v xml:space="preserve">   Meubles pour chambres à coucher, en bois (sauf sièges)</v>
      </c>
      <c r="C1112">
        <v>2300000</v>
      </c>
      <c r="D1112">
        <v>3000</v>
      </c>
    </row>
    <row r="1113" spans="1:4" x14ac:dyDescent="0.25">
      <c r="A1113" t="str">
        <f>T("   940360")</f>
        <v xml:space="preserve">   940360</v>
      </c>
      <c r="B1113" t="str">
        <f>T("   Meubles en bois (autres que pour bureaux, cuisines ou chambres à coucher et autres que sièges)")</f>
        <v xml:space="preserve">   Meubles en bois (autres que pour bureaux, cuisines ou chambres à coucher et autres que sièges)</v>
      </c>
      <c r="C1113">
        <v>7000000</v>
      </c>
      <c r="D1113">
        <v>2750</v>
      </c>
    </row>
    <row r="1114" spans="1:4" x14ac:dyDescent="0.25">
      <c r="A1114" t="str">
        <f>T("   940370")</f>
        <v xml:space="preserve">   940370</v>
      </c>
      <c r="B1114"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1114">
        <v>79449250</v>
      </c>
      <c r="D1114">
        <v>61250</v>
      </c>
    </row>
    <row r="1115" spans="1:4" x14ac:dyDescent="0.25">
      <c r="A1115" t="str">
        <f>T("   950430")</f>
        <v xml:space="preserve">   950430</v>
      </c>
      <c r="B1115" t="s">
        <v>102</v>
      </c>
      <c r="C1115">
        <v>1250000</v>
      </c>
      <c r="D1115">
        <v>4500</v>
      </c>
    </row>
    <row r="1116" spans="1:4" x14ac:dyDescent="0.25">
      <c r="A1116" t="str">
        <f>T("TH")</f>
        <v>TH</v>
      </c>
      <c r="B1116" t="str">
        <f>T("Thaïlande")</f>
        <v>Thaïlande</v>
      </c>
    </row>
    <row r="1117" spans="1:4" x14ac:dyDescent="0.25">
      <c r="A1117" t="str">
        <f>T("   ZZ_Total_Produit_SH6")</f>
        <v xml:space="preserve">   ZZ_Total_Produit_SH6</v>
      </c>
      <c r="B1117" t="str">
        <f>T("   ZZ_Total_Produit_SH6")</f>
        <v xml:space="preserve">   ZZ_Total_Produit_SH6</v>
      </c>
      <c r="C1117">
        <v>1304551877</v>
      </c>
      <c r="D1117">
        <v>1330342.3700000001</v>
      </c>
    </row>
    <row r="1118" spans="1:4" x14ac:dyDescent="0.25">
      <c r="A1118" t="str">
        <f>T("   120710")</f>
        <v xml:space="preserve">   120710</v>
      </c>
      <c r="B1118" t="str">
        <f>T("   NOIX ET AMANDES DE PALMISTES")</f>
        <v xml:space="preserve">   NOIX ET AMANDES DE PALMISTES</v>
      </c>
      <c r="C1118">
        <v>94457808</v>
      </c>
      <c r="D1118">
        <v>2052</v>
      </c>
    </row>
    <row r="1119" spans="1:4" x14ac:dyDescent="0.25">
      <c r="A1119" t="str">
        <f>T("   121230")</f>
        <v xml:space="preserve">   121230</v>
      </c>
      <c r="B1119" t="str">
        <f>T("   Noyaux et amandes d'abricots, de pêches [y.c. des brugnons et nectarines] ou de prunes")</f>
        <v xml:space="preserve">   Noyaux et amandes d'abricots, de pêches [y.c. des brugnons et nectarines] ou de prunes</v>
      </c>
      <c r="C1119">
        <v>86616324</v>
      </c>
      <c r="D1119">
        <v>2031.37</v>
      </c>
    </row>
    <row r="1120" spans="1:4" x14ac:dyDescent="0.25">
      <c r="A1120" t="str">
        <f>T("   440690")</f>
        <v xml:space="preserve">   440690</v>
      </c>
      <c r="B1120" t="str">
        <f>T("   Traverses en bois, pour voies ferrées ou simil., imprégnées")</f>
        <v xml:space="preserve">   Traverses en bois, pour voies ferrées ou simil., imprégnées</v>
      </c>
      <c r="C1120">
        <v>1000000</v>
      </c>
      <c r="D1120">
        <v>20000</v>
      </c>
    </row>
    <row r="1121" spans="1:4" x14ac:dyDescent="0.25">
      <c r="A1121" t="str">
        <f>T("   520100")</f>
        <v xml:space="preserve">   520100</v>
      </c>
      <c r="B1121" t="str">
        <f>T("   COTON, NON-CARDÉ NI PEIGNÉ")</f>
        <v xml:space="preserve">   COTON, NON-CARDÉ NI PEIGNÉ</v>
      </c>
      <c r="C1121">
        <v>1122477745</v>
      </c>
      <c r="D1121">
        <v>1306259</v>
      </c>
    </row>
    <row r="1122" spans="1:4" x14ac:dyDescent="0.25">
      <c r="A1122" t="str">
        <f>T("TN")</f>
        <v>TN</v>
      </c>
      <c r="B1122" t="str">
        <f>T("Tunisie")</f>
        <v>Tunisie</v>
      </c>
    </row>
    <row r="1123" spans="1:4" x14ac:dyDescent="0.25">
      <c r="A1123" t="str">
        <f>T("   ZZ_Total_Produit_SH6")</f>
        <v xml:space="preserve">   ZZ_Total_Produit_SH6</v>
      </c>
      <c r="B1123" t="str">
        <f>T("   ZZ_Total_Produit_SH6")</f>
        <v xml:space="preserve">   ZZ_Total_Produit_SH6</v>
      </c>
      <c r="C1123">
        <v>8875613</v>
      </c>
      <c r="D1123">
        <v>5555</v>
      </c>
    </row>
    <row r="1124" spans="1:4" x14ac:dyDescent="0.25">
      <c r="A1124" t="str">
        <f>T("   490199")</f>
        <v xml:space="preserve">   490199</v>
      </c>
      <c r="B112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124">
        <v>200000</v>
      </c>
      <c r="D1124">
        <v>100</v>
      </c>
    </row>
    <row r="1125" spans="1:4" x14ac:dyDescent="0.25">
      <c r="A1125" t="str">
        <f>T("   620590")</f>
        <v xml:space="preserve">   620590</v>
      </c>
      <c r="B112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25">
        <v>750000</v>
      </c>
      <c r="D1125">
        <v>900</v>
      </c>
    </row>
    <row r="1126" spans="1:4" x14ac:dyDescent="0.25">
      <c r="A1126" t="str">
        <f>T("   732394")</f>
        <v xml:space="preserve">   732394</v>
      </c>
      <c r="B1126" t="s">
        <v>67</v>
      </c>
      <c r="C1126">
        <v>550000</v>
      </c>
      <c r="D1126">
        <v>500</v>
      </c>
    </row>
    <row r="1127" spans="1:4" x14ac:dyDescent="0.25">
      <c r="A1127" t="str">
        <f>T("   870323")</f>
        <v xml:space="preserve">   870323</v>
      </c>
      <c r="B1127" t="s">
        <v>88</v>
      </c>
      <c r="C1127">
        <v>6375613</v>
      </c>
      <c r="D1127">
        <v>1555</v>
      </c>
    </row>
    <row r="1128" spans="1:4" x14ac:dyDescent="0.25">
      <c r="A1128" t="str">
        <f>T("   940350")</f>
        <v xml:space="preserve">   940350</v>
      </c>
      <c r="B1128" t="str">
        <f>T("   Meubles pour chambres à coucher, en bois (sauf sièges)")</f>
        <v xml:space="preserve">   Meubles pour chambres à coucher, en bois (sauf sièges)</v>
      </c>
      <c r="C1128">
        <v>1000000</v>
      </c>
      <c r="D1128">
        <v>2500</v>
      </c>
    </row>
    <row r="1129" spans="1:4" x14ac:dyDescent="0.25">
      <c r="A1129" t="str">
        <f>T("TR")</f>
        <v>TR</v>
      </c>
      <c r="B1129" t="str">
        <f>T("Turquie")</f>
        <v>Turquie</v>
      </c>
    </row>
    <row r="1130" spans="1:4" x14ac:dyDescent="0.25">
      <c r="A1130" t="str">
        <f>T("   ZZ_Total_Produit_SH6")</f>
        <v xml:space="preserve">   ZZ_Total_Produit_SH6</v>
      </c>
      <c r="B1130" t="str">
        <f>T("   ZZ_Total_Produit_SH6")</f>
        <v xml:space="preserve">   ZZ_Total_Produit_SH6</v>
      </c>
      <c r="C1130">
        <v>53327800</v>
      </c>
      <c r="D1130">
        <v>341740</v>
      </c>
    </row>
    <row r="1131" spans="1:4" x14ac:dyDescent="0.25">
      <c r="A1131" t="str">
        <f>T("   110100")</f>
        <v xml:space="preserve">   110100</v>
      </c>
      <c r="B1131" t="str">
        <f>T("   Farines de froment [blé] ou de méteil")</f>
        <v xml:space="preserve">   Farines de froment [blé] ou de méteil</v>
      </c>
      <c r="C1131">
        <v>36077800</v>
      </c>
      <c r="D1131">
        <v>245740</v>
      </c>
    </row>
    <row r="1132" spans="1:4" x14ac:dyDescent="0.25">
      <c r="A1132" t="str">
        <f>T("   120740")</f>
        <v xml:space="preserve">   120740</v>
      </c>
      <c r="B1132" t="str">
        <f>T("   Graines de sésame, même concassées")</f>
        <v xml:space="preserve">   Graines de sésame, même concassées</v>
      </c>
      <c r="C1132">
        <v>16500000</v>
      </c>
      <c r="D1132">
        <v>81000</v>
      </c>
    </row>
    <row r="1133" spans="1:4" x14ac:dyDescent="0.25">
      <c r="A1133" t="str">
        <f>T("   440399")</f>
        <v xml:space="preserve">   440399</v>
      </c>
      <c r="B1133" t="s">
        <v>46</v>
      </c>
      <c r="C1133">
        <v>750000</v>
      </c>
      <c r="D1133">
        <v>15000</v>
      </c>
    </row>
    <row r="1134" spans="1:4" x14ac:dyDescent="0.25">
      <c r="A1134" t="str">
        <f>T("TW")</f>
        <v>TW</v>
      </c>
      <c r="B1134" t="str">
        <f>T("Taïwan, Province de Chine")</f>
        <v>Taïwan, Province de Chine</v>
      </c>
    </row>
    <row r="1135" spans="1:4" x14ac:dyDescent="0.25">
      <c r="A1135" t="str">
        <f>T("   ZZ_Total_Produit_SH6")</f>
        <v xml:space="preserve">   ZZ_Total_Produit_SH6</v>
      </c>
      <c r="B1135" t="str">
        <f>T("   ZZ_Total_Produit_SH6")</f>
        <v xml:space="preserve">   ZZ_Total_Produit_SH6</v>
      </c>
      <c r="C1135">
        <v>825559178</v>
      </c>
      <c r="D1135">
        <v>1009043</v>
      </c>
    </row>
    <row r="1136" spans="1:4" x14ac:dyDescent="0.25">
      <c r="A1136" t="str">
        <f>T("   520100")</f>
        <v xml:space="preserve">   520100</v>
      </c>
      <c r="B1136" t="str">
        <f>T("   COTON, NON-CARDÉ NI PEIGNÉ")</f>
        <v xml:space="preserve">   COTON, NON-CARDÉ NI PEIGNÉ</v>
      </c>
      <c r="C1136">
        <v>819559178</v>
      </c>
      <c r="D1136">
        <v>889043</v>
      </c>
    </row>
    <row r="1137" spans="1:4" x14ac:dyDescent="0.25">
      <c r="A1137" t="str">
        <f>T("   720429")</f>
        <v xml:space="preserve">   720429</v>
      </c>
      <c r="B1137"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1137">
        <v>5500000</v>
      </c>
      <c r="D1137">
        <v>110000</v>
      </c>
    </row>
    <row r="1138" spans="1:4" x14ac:dyDescent="0.25">
      <c r="A1138" t="str">
        <f>T("   720430")</f>
        <v xml:space="preserve">   720430</v>
      </c>
      <c r="B1138"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1138">
        <v>500000</v>
      </c>
      <c r="D1138">
        <v>10000</v>
      </c>
    </row>
    <row r="1139" spans="1:4" x14ac:dyDescent="0.25">
      <c r="A1139" t="str">
        <f>T("UG")</f>
        <v>UG</v>
      </c>
      <c r="B1139" t="str">
        <f>T("Ouganda")</f>
        <v>Ouganda</v>
      </c>
    </row>
    <row r="1140" spans="1:4" x14ac:dyDescent="0.25">
      <c r="A1140" t="str">
        <f>T("   ZZ_Total_Produit_SH6")</f>
        <v xml:space="preserve">   ZZ_Total_Produit_SH6</v>
      </c>
      <c r="B1140" t="str">
        <f>T("   ZZ_Total_Produit_SH6")</f>
        <v xml:space="preserve">   ZZ_Total_Produit_SH6</v>
      </c>
      <c r="C1140">
        <v>339000</v>
      </c>
      <c r="D1140">
        <v>2000</v>
      </c>
    </row>
    <row r="1141" spans="1:4" x14ac:dyDescent="0.25">
      <c r="A1141" t="str">
        <f>T("   620590")</f>
        <v xml:space="preserve">   620590</v>
      </c>
      <c r="B114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41">
        <v>339000</v>
      </c>
      <c r="D1141">
        <v>2000</v>
      </c>
    </row>
    <row r="1142" spans="1:4" x14ac:dyDescent="0.25">
      <c r="A1142" t="str">
        <f>T("US")</f>
        <v>US</v>
      </c>
      <c r="B1142" t="str">
        <f>T("Etats-Unis")</f>
        <v>Etats-Unis</v>
      </c>
    </row>
    <row r="1143" spans="1:4" x14ac:dyDescent="0.25">
      <c r="A1143" t="str">
        <f>T("   ZZ_Total_Produit_SH6")</f>
        <v xml:space="preserve">   ZZ_Total_Produit_SH6</v>
      </c>
      <c r="B1143" t="str">
        <f>T("   ZZ_Total_Produit_SH6")</f>
        <v xml:space="preserve">   ZZ_Total_Produit_SH6</v>
      </c>
      <c r="C1143">
        <v>1565039214</v>
      </c>
      <c r="D1143">
        <v>573910.30000000005</v>
      </c>
    </row>
    <row r="1144" spans="1:4" x14ac:dyDescent="0.25">
      <c r="A1144" t="str">
        <f>T("   080211")</f>
        <v xml:space="preserve">   080211</v>
      </c>
      <c r="B1144" t="str">
        <f>T("   Amandes, fraîches ou sèches, en coques")</f>
        <v xml:space="preserve">   Amandes, fraîches ou sèches, en coques</v>
      </c>
      <c r="C1144">
        <v>1192052666</v>
      </c>
      <c r="D1144">
        <v>403370</v>
      </c>
    </row>
    <row r="1145" spans="1:4" x14ac:dyDescent="0.25">
      <c r="A1145" t="str">
        <f>T("   080212")</f>
        <v xml:space="preserve">   080212</v>
      </c>
      <c r="B1145" t="str">
        <f>T("   Amandes, fraîches ou sèches, sans coques, même décortiquées")</f>
        <v xml:space="preserve">   Amandes, fraîches ou sèches, sans coques, même décortiquées</v>
      </c>
      <c r="C1145">
        <v>157932607</v>
      </c>
      <c r="D1145">
        <v>50594</v>
      </c>
    </row>
    <row r="1146" spans="1:4" x14ac:dyDescent="0.25">
      <c r="A1146" t="str">
        <f>T("   151190")</f>
        <v xml:space="preserve">   151190</v>
      </c>
      <c r="B1146" t="str">
        <f>T("   Huile de palme et ses fractions, même raffinées, mais non chimiquement modifiées (à l'excl. de l'huile de palme brute)")</f>
        <v xml:space="preserve">   Huile de palme et ses fractions, même raffinées, mais non chimiquement modifiées (à l'excl. de l'huile de palme brute)</v>
      </c>
      <c r="C1146">
        <v>1000000</v>
      </c>
      <c r="D1146">
        <v>10000</v>
      </c>
    </row>
    <row r="1147" spans="1:4" x14ac:dyDescent="0.25">
      <c r="A1147" t="str">
        <f>T("   151590")</f>
        <v xml:space="preserve">   151590</v>
      </c>
      <c r="B1147" t="s">
        <v>18</v>
      </c>
      <c r="C1147">
        <v>16524670</v>
      </c>
      <c r="D1147">
        <v>13702.3</v>
      </c>
    </row>
    <row r="1148" spans="1:4" x14ac:dyDescent="0.25">
      <c r="A1148" t="str">
        <f>T("   210410")</f>
        <v xml:space="preserve">   210410</v>
      </c>
      <c r="B1148" t="str">
        <f>T("   Préparations pour soupes, potages ou bouillons; soupes, potages ou bouillons préparés")</f>
        <v xml:space="preserve">   Préparations pour soupes, potages ou bouillons; soupes, potages ou bouillons préparés</v>
      </c>
      <c r="C1148">
        <v>2000000</v>
      </c>
      <c r="D1148">
        <v>15000</v>
      </c>
    </row>
    <row r="1149" spans="1:4" x14ac:dyDescent="0.25">
      <c r="A1149" t="str">
        <f>T("   620590")</f>
        <v xml:space="preserve">   620590</v>
      </c>
      <c r="B114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49">
        <v>500000</v>
      </c>
      <c r="D1149">
        <v>800</v>
      </c>
    </row>
    <row r="1150" spans="1:4" x14ac:dyDescent="0.25">
      <c r="A1150" t="str">
        <f>T("   621040")</f>
        <v xml:space="preserve">   621040</v>
      </c>
      <c r="B1150" t="s">
        <v>52</v>
      </c>
      <c r="C1150">
        <v>1000000</v>
      </c>
      <c r="D1150">
        <v>889</v>
      </c>
    </row>
    <row r="1151" spans="1:4" x14ac:dyDescent="0.25">
      <c r="A1151" t="str">
        <f>T("   621050")</f>
        <v xml:space="preserve">   621050</v>
      </c>
      <c r="B1151" t="s">
        <v>53</v>
      </c>
      <c r="C1151">
        <v>2000000</v>
      </c>
      <c r="D1151">
        <v>1000</v>
      </c>
    </row>
    <row r="1152" spans="1:4" x14ac:dyDescent="0.25">
      <c r="A1152" t="str">
        <f>T("   732394")</f>
        <v xml:space="preserve">   732394</v>
      </c>
      <c r="B1152" t="s">
        <v>67</v>
      </c>
      <c r="C1152">
        <v>300000</v>
      </c>
      <c r="D1152">
        <v>500</v>
      </c>
    </row>
    <row r="1153" spans="1:4" x14ac:dyDescent="0.25">
      <c r="A1153" t="str">
        <f>T("   740400")</f>
        <v xml:space="preserve">   740400</v>
      </c>
      <c r="B1153" t="str">
        <f>T("   Déchets et débris de cuivre (à l'excl. des déchets lingotés ou formes brutes simil., en déchets et débris de cuivre fondus, et sauf cendres et résidus contenant du cuivre et déchets et débris de piles, batteries et accumulateurs électriques)")</f>
        <v xml:space="preserve">   Déchets et débris de cuivre (à l'excl. des déchets lingotés ou formes brutes simil., en déchets et débris de cuivre fondus, et sauf cendres et résidus contenant du cuivre et déchets et débris de piles, batteries et accumulateurs électriques)</v>
      </c>
      <c r="C1153">
        <v>2000000</v>
      </c>
      <c r="D1153">
        <v>40000</v>
      </c>
    </row>
    <row r="1154" spans="1:4" x14ac:dyDescent="0.25">
      <c r="A1154" t="str">
        <f>T("   840110")</f>
        <v xml:space="preserve">   840110</v>
      </c>
      <c r="B1154" t="str">
        <f>T("   RÉACTEURS NUCLÉAIRES 'EURATOM'")</f>
        <v xml:space="preserve">   RÉACTEURS NUCLÉAIRES 'EURATOM'</v>
      </c>
      <c r="C1154">
        <v>2688638</v>
      </c>
      <c r="D1154">
        <v>13500</v>
      </c>
    </row>
    <row r="1155" spans="1:4" x14ac:dyDescent="0.25">
      <c r="A1155" t="str">
        <f>T("   843131")</f>
        <v xml:space="preserve">   843131</v>
      </c>
      <c r="B1155" t="str">
        <f>T("   Parties d'ascenseurs, monte-charge ou escaliers mécaniques, n.d.a.")</f>
        <v xml:space="preserve">   Parties d'ascenseurs, monte-charge ou escaliers mécaniques, n.d.a.</v>
      </c>
      <c r="C1155">
        <v>80430120</v>
      </c>
      <c r="D1155">
        <v>1100</v>
      </c>
    </row>
    <row r="1156" spans="1:4" x14ac:dyDescent="0.25">
      <c r="A1156" t="str">
        <f>T("   870322")</f>
        <v xml:space="preserve">   870322</v>
      </c>
      <c r="B1156" t="s">
        <v>87</v>
      </c>
      <c r="C1156">
        <v>6936345</v>
      </c>
      <c r="D1156">
        <v>2874</v>
      </c>
    </row>
    <row r="1157" spans="1:4" x14ac:dyDescent="0.25">
      <c r="A1157" t="str">
        <f>T("   870323")</f>
        <v xml:space="preserve">   870323</v>
      </c>
      <c r="B1157" t="s">
        <v>88</v>
      </c>
      <c r="C1157">
        <v>1000000</v>
      </c>
      <c r="D1157">
        <v>2000</v>
      </c>
    </row>
    <row r="1158" spans="1:4" x14ac:dyDescent="0.25">
      <c r="A1158" t="str">
        <f>T("   870331")</f>
        <v xml:space="preserve">   870331</v>
      </c>
      <c r="B1158" t="s">
        <v>90</v>
      </c>
      <c r="C1158">
        <v>5805600</v>
      </c>
      <c r="D1158">
        <v>1200</v>
      </c>
    </row>
    <row r="1159" spans="1:4" x14ac:dyDescent="0.25">
      <c r="A1159" t="str">
        <f>T("   870899")</f>
        <v xml:space="preserve">   870899</v>
      </c>
      <c r="B1159"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159">
        <v>1836000</v>
      </c>
      <c r="D1159">
        <v>2500</v>
      </c>
    </row>
    <row r="1160" spans="1:4" x14ac:dyDescent="0.25">
      <c r="A1160" t="str">
        <f>T("   940350")</f>
        <v xml:space="preserve">   940350</v>
      </c>
      <c r="B1160" t="str">
        <f>T("   Meubles pour chambres à coucher, en bois (sauf sièges)")</f>
        <v xml:space="preserve">   Meubles pour chambres à coucher, en bois (sauf sièges)</v>
      </c>
      <c r="C1160">
        <v>700000</v>
      </c>
      <c r="D1160">
        <v>1200</v>
      </c>
    </row>
    <row r="1161" spans="1:4" x14ac:dyDescent="0.25">
      <c r="A1161" t="str">
        <f>T("   940360")</f>
        <v xml:space="preserve">   940360</v>
      </c>
      <c r="B1161" t="str">
        <f>T("   Meubles en bois (autres que pour bureaux, cuisines ou chambres à coucher et autres que sièges)")</f>
        <v xml:space="preserve">   Meubles en bois (autres que pour bureaux, cuisines ou chambres à coucher et autres que sièges)</v>
      </c>
      <c r="C1161">
        <v>80230000</v>
      </c>
      <c r="D1161">
        <v>8760</v>
      </c>
    </row>
    <row r="1162" spans="1:4" x14ac:dyDescent="0.25">
      <c r="A1162" t="str">
        <f>T("   940390")</f>
        <v xml:space="preserve">   940390</v>
      </c>
      <c r="B1162"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1162">
        <v>7500000</v>
      </c>
      <c r="D1162">
        <v>2100</v>
      </c>
    </row>
    <row r="1163" spans="1:4" x14ac:dyDescent="0.25">
      <c r="A1163" t="str">
        <f>T("   940540")</f>
        <v xml:space="preserve">   940540</v>
      </c>
      <c r="B1163" t="str">
        <f>T("   Appareils d'éclairage électrique, n.d.a.")</f>
        <v xml:space="preserve">   Appareils d'éclairage électrique, n.d.a.</v>
      </c>
      <c r="C1163">
        <v>2602568</v>
      </c>
      <c r="D1163">
        <v>2821</v>
      </c>
    </row>
    <row r="1164" spans="1:4" x14ac:dyDescent="0.25">
      <c r="A1164" t="str">
        <f>T("VN")</f>
        <v>VN</v>
      </c>
      <c r="B1164" t="str">
        <f>T("Vietnam")</f>
        <v>Vietnam</v>
      </c>
    </row>
    <row r="1165" spans="1:4" x14ac:dyDescent="0.25">
      <c r="A1165" t="str">
        <f>T("   ZZ_Total_Produit_SH6")</f>
        <v xml:space="preserve">   ZZ_Total_Produit_SH6</v>
      </c>
      <c r="B1165" t="str">
        <f>T("   ZZ_Total_Produit_SH6")</f>
        <v xml:space="preserve">   ZZ_Total_Produit_SH6</v>
      </c>
      <c r="C1165">
        <v>9103672606</v>
      </c>
      <c r="D1165">
        <v>34256686</v>
      </c>
    </row>
    <row r="1166" spans="1:4" x14ac:dyDescent="0.25">
      <c r="A1166" t="str">
        <f>T("   030379")</f>
        <v xml:space="preserve">   030379</v>
      </c>
      <c r="B1166" t="s">
        <v>13</v>
      </c>
      <c r="C1166">
        <v>29019146</v>
      </c>
      <c r="D1166">
        <v>40000</v>
      </c>
    </row>
    <row r="1167" spans="1:4" x14ac:dyDescent="0.25">
      <c r="A1167" t="str">
        <f>T("   080131")</f>
        <v xml:space="preserve">   080131</v>
      </c>
      <c r="B1167" t="str">
        <f>T("   Noix de cajou, fraîches ou sèches, en coques")</f>
        <v xml:space="preserve">   Noix de cajou, fraîches ou sèches, en coques</v>
      </c>
      <c r="C1167">
        <v>4780835209</v>
      </c>
      <c r="D1167">
        <v>16927816</v>
      </c>
    </row>
    <row r="1168" spans="1:4" x14ac:dyDescent="0.25">
      <c r="A1168" t="str">
        <f>T("   080211")</f>
        <v xml:space="preserve">   080211</v>
      </c>
      <c r="B1168" t="str">
        <f>T("   Amandes, fraîches ou sèches, en coques")</f>
        <v xml:space="preserve">   Amandes, fraîches ou sèches, en coques</v>
      </c>
      <c r="C1168">
        <v>46233180</v>
      </c>
      <c r="D1168">
        <v>30822</v>
      </c>
    </row>
    <row r="1169" spans="1:4" x14ac:dyDescent="0.25">
      <c r="A1169" t="str">
        <f>T("   080290")</f>
        <v xml:space="preserve">   080290</v>
      </c>
      <c r="B1169" t="str">
        <f>T("   FRUITS À COQUES, FRAIS OU SECS, MÊME SANS LEURS COQUES OU DÉCORTIQUÉS (À L'EXCL. DES NOIX DE COCO, DU BRÉSIL OU DE CAJOU AINSI QUE DES AMANDES, DES NOISETTES, DES NOIX COMMUNES, DES CHÂTAIGNES, DES MARRONS, DES PISTACHESE ET DES NOIX MACADAMIA)")</f>
        <v xml:space="preserve">   FRUITS À COQUES, FRAIS OU SECS, MÊME SANS LEURS COQUES OU DÉCORTIQUÉS (À L'EXCL. DES NOIX DE COCO, DU BRÉSIL OU DE CAJOU AINSI QUE DES AMANDES, DES NOISETTES, DES NOIX COMMUNES, DES CHÂTAIGNES, DES MARRONS, DES PISTACHESE ET DES NOIX MACADAMIA)</v>
      </c>
      <c r="C1169">
        <v>16302090</v>
      </c>
      <c r="D1169">
        <v>36860</v>
      </c>
    </row>
    <row r="1170" spans="1:4" x14ac:dyDescent="0.25">
      <c r="A1170" t="str">
        <f>T("   091010")</f>
        <v xml:space="preserve">   091010</v>
      </c>
      <c r="B1170" t="str">
        <f>T("   Gingembre")</f>
        <v xml:space="preserve">   Gingembre</v>
      </c>
      <c r="C1170">
        <v>3300000</v>
      </c>
      <c r="D1170">
        <v>33000</v>
      </c>
    </row>
    <row r="1171" spans="1:4" x14ac:dyDescent="0.25">
      <c r="A1171" t="str">
        <f>T("   120220")</f>
        <v xml:space="preserve">   120220</v>
      </c>
      <c r="B1171" t="str">
        <f>T("   Arachides, décortiquées, même concassées, non grillées ni autrement cuites")</f>
        <v xml:space="preserve">   Arachides, décortiquées, même concassées, non grillées ni autrement cuites</v>
      </c>
      <c r="C1171">
        <v>22000000</v>
      </c>
      <c r="D1171">
        <v>217000</v>
      </c>
    </row>
    <row r="1172" spans="1:4" x14ac:dyDescent="0.25">
      <c r="A1172" t="str">
        <f>T("   120799")</f>
        <v xml:space="preserve">   120799</v>
      </c>
      <c r="B1172" t="s">
        <v>16</v>
      </c>
      <c r="C1172">
        <v>16302900</v>
      </c>
      <c r="D1172">
        <v>118686</v>
      </c>
    </row>
    <row r="1173" spans="1:4" x14ac:dyDescent="0.25">
      <c r="A1173" t="str">
        <f>T("   200811")</f>
        <v xml:space="preserve">   200811</v>
      </c>
      <c r="B1173" t="str">
        <f>T("   Arachides, préparées ou conservées (sauf confites au sucre)")</f>
        <v xml:space="preserve">   Arachides, préparées ou conservées (sauf confites au sucre)</v>
      </c>
      <c r="C1173">
        <v>12000000</v>
      </c>
      <c r="D1173">
        <v>60000</v>
      </c>
    </row>
    <row r="1174" spans="1:4" x14ac:dyDescent="0.25">
      <c r="A1174" t="str">
        <f>T("   440399")</f>
        <v xml:space="preserve">   440399</v>
      </c>
      <c r="B1174" t="s">
        <v>46</v>
      </c>
      <c r="C1174">
        <v>15000000</v>
      </c>
      <c r="D1174">
        <v>300000</v>
      </c>
    </row>
    <row r="1175" spans="1:4" x14ac:dyDescent="0.25">
      <c r="A1175" t="str">
        <f>T("   440690")</f>
        <v xml:space="preserve">   440690</v>
      </c>
      <c r="B1175" t="str">
        <f>T("   Traverses en bois, pour voies ferrées ou simil., imprégnées")</f>
        <v xml:space="preserve">   Traverses en bois, pour voies ferrées ou simil., imprégnées</v>
      </c>
      <c r="C1175">
        <v>8400000</v>
      </c>
      <c r="D1175">
        <v>208000</v>
      </c>
    </row>
    <row r="1176" spans="1:4" x14ac:dyDescent="0.25">
      <c r="A1176" t="str">
        <f>T("   440729")</f>
        <v xml:space="preserve">   440729</v>
      </c>
      <c r="B1176" t="s">
        <v>47</v>
      </c>
      <c r="C1176">
        <v>13459750</v>
      </c>
      <c r="D1176">
        <v>178190</v>
      </c>
    </row>
    <row r="1177" spans="1:4" x14ac:dyDescent="0.25">
      <c r="A1177" t="str">
        <f>T("   520100")</f>
        <v xml:space="preserve">   520100</v>
      </c>
      <c r="B1177" t="str">
        <f>T("   COTON, NON-CARDÉ NI PEIGNÉ")</f>
        <v xml:space="preserve">   COTON, NON-CARDÉ NI PEIGNÉ</v>
      </c>
      <c r="C1177">
        <v>3524973667</v>
      </c>
      <c r="D1177">
        <v>3997178</v>
      </c>
    </row>
    <row r="1178" spans="1:4" x14ac:dyDescent="0.25">
      <c r="A1178" t="str">
        <f>T("   530390")</f>
        <v xml:space="preserve">   530390</v>
      </c>
      <c r="B1178" t="str">
        <f>T("   Jute et autres fibres textiles libériennes, travaillés mais non filés (à l'excl. des produits rouis ainsi que du lin, du chanvre et de la ramie); étoupes et déchets de ces fibres, y.c. les déchets de fils et les effilochés")</f>
        <v xml:space="preserve">   Jute et autres fibres textiles libériennes, travaillés mais non filés (à l'excl. des produits rouis ainsi que du lin, du chanvre et de la ramie); étoupes et déchets de ces fibres, y.c. les déchets de fils et les effilochés</v>
      </c>
      <c r="C1178">
        <v>11415664</v>
      </c>
      <c r="D1178">
        <v>20514</v>
      </c>
    </row>
    <row r="1179" spans="1:4" x14ac:dyDescent="0.25">
      <c r="A1179" t="str">
        <f>T("   720429")</f>
        <v xml:space="preserve">   720429</v>
      </c>
      <c r="B1179"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1179">
        <v>510451000</v>
      </c>
      <c r="D1179">
        <v>10209020</v>
      </c>
    </row>
    <row r="1180" spans="1:4" x14ac:dyDescent="0.25">
      <c r="A1180" t="str">
        <f>T("   720430")</f>
        <v xml:space="preserve">   720430</v>
      </c>
      <c r="B1180"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1180">
        <v>92480000</v>
      </c>
      <c r="D1180">
        <v>1849600</v>
      </c>
    </row>
    <row r="1181" spans="1:4" x14ac:dyDescent="0.25">
      <c r="A1181" t="str">
        <f>T("   760200")</f>
        <v xml:space="preserve">   760200</v>
      </c>
      <c r="B1181" t="s">
        <v>70</v>
      </c>
      <c r="C1181">
        <v>1500000</v>
      </c>
      <c r="D1181">
        <v>30000</v>
      </c>
    </row>
    <row r="1182" spans="1:4" x14ac:dyDescent="0.25">
      <c r="A1182" t="str">
        <f>T("ZA")</f>
        <v>ZA</v>
      </c>
      <c r="B1182" t="str">
        <f>T("Afrique du Sud")</f>
        <v>Afrique du Sud</v>
      </c>
    </row>
    <row r="1183" spans="1:4" x14ac:dyDescent="0.25">
      <c r="A1183" t="str">
        <f>T("   ZZ_Total_Produit_SH6")</f>
        <v xml:space="preserve">   ZZ_Total_Produit_SH6</v>
      </c>
      <c r="B1183" t="str">
        <f>T("   ZZ_Total_Produit_SH6")</f>
        <v xml:space="preserve">   ZZ_Total_Produit_SH6</v>
      </c>
      <c r="C1183">
        <v>1591070861</v>
      </c>
      <c r="D1183">
        <v>13484533</v>
      </c>
    </row>
    <row r="1184" spans="1:4" x14ac:dyDescent="0.25">
      <c r="A1184" t="str">
        <f>T("   091010")</f>
        <v xml:space="preserve">   091010</v>
      </c>
      <c r="B1184" t="str">
        <f>T("   Gingembre")</f>
        <v xml:space="preserve">   Gingembre</v>
      </c>
      <c r="C1184">
        <v>8661600</v>
      </c>
      <c r="D1184">
        <v>43308</v>
      </c>
    </row>
    <row r="1185" spans="1:4" x14ac:dyDescent="0.25">
      <c r="A1185" t="str">
        <f>T("   120100")</f>
        <v xml:space="preserve">   120100</v>
      </c>
      <c r="B1185" t="str">
        <f>T("   Fèves de soja, même concassées")</f>
        <v xml:space="preserve">   Fèves de soja, même concassées</v>
      </c>
      <c r="C1185">
        <v>246332400</v>
      </c>
      <c r="D1185">
        <v>1231662</v>
      </c>
    </row>
    <row r="1186" spans="1:4" x14ac:dyDescent="0.25">
      <c r="A1186" t="str">
        <f>T("   230610")</f>
        <v xml:space="preserve">   230610</v>
      </c>
      <c r="B1186"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1186">
        <v>1210561551</v>
      </c>
      <c r="D1186">
        <v>10175491</v>
      </c>
    </row>
    <row r="1187" spans="1:4" x14ac:dyDescent="0.25">
      <c r="A1187" t="str">
        <f>T("   230690")</f>
        <v xml:space="preserve">   230690</v>
      </c>
      <c r="B1187" t="s">
        <v>24</v>
      </c>
      <c r="C1187">
        <v>107522810</v>
      </c>
      <c r="D1187">
        <v>1887511</v>
      </c>
    </row>
    <row r="1188" spans="1:4" x14ac:dyDescent="0.25">
      <c r="A1188" t="str">
        <f>T("   490199")</f>
        <v xml:space="preserve">   490199</v>
      </c>
      <c r="B118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188">
        <v>600000</v>
      </c>
      <c r="D1188">
        <v>750</v>
      </c>
    </row>
    <row r="1189" spans="1:4" x14ac:dyDescent="0.25">
      <c r="A1189" t="str">
        <f>T("   620590")</f>
        <v xml:space="preserve">   620590</v>
      </c>
      <c r="B118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89">
        <v>3400000</v>
      </c>
      <c r="D1189">
        <v>4700</v>
      </c>
    </row>
    <row r="1190" spans="1:4" x14ac:dyDescent="0.25">
      <c r="A1190" t="str">
        <f>T("   630491")</f>
        <v xml:space="preserve">   630491</v>
      </c>
      <c r="B1190" t="s">
        <v>55</v>
      </c>
      <c r="C1190">
        <v>7000916</v>
      </c>
      <c r="D1190">
        <v>2261</v>
      </c>
    </row>
    <row r="1191" spans="1:4" x14ac:dyDescent="0.25">
      <c r="A1191" t="str">
        <f>T("   732394")</f>
        <v xml:space="preserve">   732394</v>
      </c>
      <c r="B1191" t="s">
        <v>67</v>
      </c>
      <c r="C1191">
        <v>1600000</v>
      </c>
      <c r="D1191">
        <v>2800</v>
      </c>
    </row>
    <row r="1192" spans="1:4" x14ac:dyDescent="0.25">
      <c r="A1192" t="str">
        <f>T("   761090")</f>
        <v xml:space="preserve">   761090</v>
      </c>
      <c r="B1192"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1192">
        <v>1593267</v>
      </c>
      <c r="D1192">
        <v>66400</v>
      </c>
    </row>
    <row r="1193" spans="1:4" x14ac:dyDescent="0.25">
      <c r="A1193" t="str">
        <f>T("   854890")</f>
        <v xml:space="preserve">   854890</v>
      </c>
      <c r="B1193" t="str">
        <f>T("   PARTIES ÉLECTRIQUES DE MACHINES OU D'APPAREILS, N.D.A. DANS LE CHAPITRE 85")</f>
        <v xml:space="preserve">   PARTIES ÉLECTRIQUES DE MACHINES OU D'APPAREILS, N.D.A. DANS LE CHAPITRE 85</v>
      </c>
      <c r="C1193">
        <v>398317</v>
      </c>
      <c r="D1193">
        <v>66400</v>
      </c>
    </row>
    <row r="1194" spans="1:4" x14ac:dyDescent="0.25">
      <c r="A1194" t="str">
        <f>T("   940350")</f>
        <v xml:space="preserve">   940350</v>
      </c>
      <c r="B1194" t="str">
        <f>T("   Meubles pour chambres à coucher, en bois (sauf sièges)")</f>
        <v xml:space="preserve">   Meubles pour chambres à coucher, en bois (sauf sièges)</v>
      </c>
      <c r="C1194">
        <v>3200000</v>
      </c>
      <c r="D1194">
        <v>3200</v>
      </c>
    </row>
    <row r="1195" spans="1:4" x14ac:dyDescent="0.25">
      <c r="A1195" t="str">
        <f>T("   950300")</f>
        <v xml:space="preserve">   950300</v>
      </c>
      <c r="B1195" t="str">
        <f>T("   TRICYCLES, TROTTINETTES, AUTOS À PÉDALES ET JOUETS À ROUES SIMILAIRES; LANDAUS ET POUSSETTES POUR POUPÉES; POUPÉES; AUTRES JOUETS; MODÈLES RÉDUITS POUR LE DIVERTISSEMENT, ANIMÉS OU NON; PUZZLES DE TOUT GENRE")</f>
        <v xml:space="preserve">   TRICYCLES, TROTTINETTES, AUTOS À PÉDALES ET JOUETS À ROUES SIMILAIRES; LANDAUS ET POUSSETTES POUR POUPÉES; POUPÉES; AUTRES JOUETS; MODÈLES RÉDUITS POUR LE DIVERTISSEMENT, ANIMÉS OU NON; PUZZLES DE TOUT GENRE</v>
      </c>
      <c r="C1195">
        <v>200000</v>
      </c>
      <c r="D1195">
        <v>50</v>
      </c>
    </row>
    <row r="1196" spans="1:4" x14ac:dyDescent="0.25">
      <c r="A1196" t="str">
        <f>T("ZM")</f>
        <v>ZM</v>
      </c>
      <c r="B1196" t="str">
        <f>T("Zambie")</f>
        <v>Zambie</v>
      </c>
    </row>
    <row r="1197" spans="1:4" x14ac:dyDescent="0.25">
      <c r="A1197" t="str">
        <f>T("   ZZ_Total_Produit_SH6")</f>
        <v xml:space="preserve">   ZZ_Total_Produit_SH6</v>
      </c>
      <c r="B1197" t="str">
        <f>T("   ZZ_Total_Produit_SH6")</f>
        <v xml:space="preserve">   ZZ_Total_Produit_SH6</v>
      </c>
      <c r="C1197">
        <v>393184406</v>
      </c>
      <c r="D1197">
        <v>92991</v>
      </c>
    </row>
    <row r="1198" spans="1:4" x14ac:dyDescent="0.25">
      <c r="A1198" t="str">
        <f>T("   391721")</f>
        <v xml:space="preserve">   391721</v>
      </c>
      <c r="B1198" t="str">
        <f>T("   TUBES ET TUYAUX RIGIDES, EN POLYMÈRES DE L'ÉTHYLÈNE")</f>
        <v xml:space="preserve">   TUBES ET TUYAUX RIGIDES, EN POLYMÈRES DE L'ÉTHYLÈNE</v>
      </c>
      <c r="C1198">
        <v>382693282</v>
      </c>
      <c r="D1198">
        <v>90247</v>
      </c>
    </row>
    <row r="1199" spans="1:4" x14ac:dyDescent="0.25">
      <c r="A1199" t="str">
        <f>T("   621040")</f>
        <v xml:space="preserve">   621040</v>
      </c>
      <c r="B1199" t="s">
        <v>52</v>
      </c>
      <c r="C1199">
        <v>10137160</v>
      </c>
      <c r="D1199">
        <v>2600</v>
      </c>
    </row>
    <row r="1200" spans="1:4" x14ac:dyDescent="0.25">
      <c r="A1200" t="str">
        <f>T("   843149")</f>
        <v xml:space="preserve">   843149</v>
      </c>
      <c r="B1200" t="str">
        <f>T("   Parties de machines et appareils du n° 8426, 8429 ou 8430, n.d.a.")</f>
        <v xml:space="preserve">   Parties de machines et appareils du n° 8426, 8429 ou 8430, n.d.a.</v>
      </c>
      <c r="C1200">
        <v>353964</v>
      </c>
      <c r="D1200">
        <v>144</v>
      </c>
    </row>
    <row r="1201" spans="1:4" x14ac:dyDescent="0.25">
      <c r="A1201" t="str">
        <f>T("ZW")</f>
        <v>ZW</v>
      </c>
      <c r="B1201" t="str">
        <f>T("Zimbabwe")</f>
        <v>Zimbabwe</v>
      </c>
    </row>
    <row r="1202" spans="1:4" x14ac:dyDescent="0.25">
      <c r="A1202" t="str">
        <f>T("   ZZ_Total_Produit_SH6")</f>
        <v xml:space="preserve">   ZZ_Total_Produit_SH6</v>
      </c>
      <c r="B1202" t="str">
        <f>T("   ZZ_Total_Produit_SH6")</f>
        <v xml:space="preserve">   ZZ_Total_Produit_SH6</v>
      </c>
      <c r="C1202">
        <v>500000</v>
      </c>
      <c r="D1202">
        <v>10000</v>
      </c>
    </row>
    <row r="1203" spans="1:4" x14ac:dyDescent="0.25">
      <c r="A1203" t="str">
        <f>T("   940389")</f>
        <v xml:space="preserve">   940389</v>
      </c>
      <c r="B1203" t="str">
        <f>T("   MEUBLES EN OSIER OU EN MATIÈRES SIMIL. (SAUF EN BAMBOU, ROTIN, MÉTAL, BOIS ET MATIÈRES PLASTIQUES AINSI QUE SIÈGES ET MOBILIER POUR LA MÉDECINE, L'ART DENTAIRE ET VÉTÉRINAIRE OU LA CHIRURGIE)")</f>
        <v xml:space="preserve">   MEUBLES EN OSIER OU EN MATIÈRES SIMIL. (SAUF EN BAMBOU, ROTIN, MÉTAL, BOIS ET MATIÈRES PLASTIQUES AINSI QUE SIÈGES ET MOBILIER POUR LA MÉDECINE, L'ART DENTAIRE ET VÉTÉRINAIRE OU LA CHIRURGIE)</v>
      </c>
      <c r="C1203">
        <v>500000</v>
      </c>
      <c r="D1203">
        <v>10000</v>
      </c>
    </row>
    <row r="1204" spans="1:4" s="1" customFormat="1" x14ac:dyDescent="0.25">
      <c r="A1204" s="1" t="str">
        <f>T("   ZZ_Total_Produit_SH6")</f>
        <v xml:space="preserve">   ZZ_Total_Produit_SH6</v>
      </c>
      <c r="B1204" s="1" t="str">
        <f>T("   ZZ_Total_Produit_SH6")</f>
        <v xml:space="preserve">   ZZ_Total_Produit_SH6</v>
      </c>
      <c r="C1204" s="1">
        <v>244786343882</v>
      </c>
      <c r="D1204" s="1">
        <v>849487673.23000002</v>
      </c>
    </row>
    <row r="1206" spans="1:4" x14ac:dyDescent="0.25">
      <c r="A1206" t="s">
        <v>103</v>
      </c>
    </row>
    <row r="1207" spans="1:4" x14ac:dyDescent="0.25">
      <c r="A1207" t="s">
        <v>104</v>
      </c>
    </row>
    <row r="1208" spans="1:4" x14ac:dyDescent="0.25">
      <c r="A1208" t="s">
        <v>105</v>
      </c>
    </row>
  </sheetData>
  <pageMargins left="0.7" right="0.7" top="0.75" bottom="0.75" header="0.3" footer="0.3"/>
</worksheet>
</file>